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omments6.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xl/comments1.xml" ContentType="application/vnd.openxmlformats-officedocument.spreadsheetml.comments+xml"/>
  <Override PartName="/xl/comments4.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365tno-my.sharepoint.com/personal/noortje_bonenkamp_tno_nl/Documents/Projecten/Bedrijventerreinen/GEAR@SME/"/>
    </mc:Choice>
  </mc:AlternateContent>
  <xr:revisionPtr revIDLastSave="15" documentId="8_{A14B0597-547D-418C-918C-02719EB39774}" xr6:coauthVersionLast="47" xr6:coauthVersionMax="47" xr10:uidLastSave="{E4F1E2A6-7016-4F40-864C-5E288F5FC3F2}"/>
  <bookViews>
    <workbookView xWindow="-24675" yWindow="5760" windowWidth="32400" windowHeight="16635" tabRatio="751" activeTab="2" xr2:uid="{00000000-000D-0000-FFFF-FFFF00000000}"/>
  </bookViews>
  <sheets>
    <sheet name="0. Startpagina" sheetId="13" r:id="rId1"/>
    <sheet name="1. Gegevens PM en Leverancier" sheetId="10" r:id="rId2"/>
    <sheet name="2. BC Bedrijf" sheetId="11" r:id="rId3"/>
    <sheet name="3. Bedrijvenoverzicht" sheetId="14" r:id="rId4"/>
    <sheet name="4. BC Leverancier" sheetId="12" r:id="rId5"/>
    <sheet name="5. BC Parkmanager" sheetId="8" r:id="rId6"/>
  </sheets>
  <externalReferences>
    <externalReference r:id="rId7"/>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9" i="11" l="1"/>
  <c r="C38" i="11" l="1"/>
  <c r="C40" i="11"/>
  <c r="C12" i="11" l="1"/>
  <c r="C31" i="11" s="1"/>
  <c r="C13" i="11" l="1"/>
  <c r="F35" i="10" l="1"/>
  <c r="F34" i="10"/>
  <c r="C8" i="12"/>
  <c r="C18" i="10"/>
  <c r="G21" i="14"/>
  <c r="C29" i="14" s="1"/>
  <c r="B25" i="8" s="1"/>
  <c r="B27" i="8" s="1"/>
  <c r="C21" i="14"/>
  <c r="C26" i="14" s="1"/>
  <c r="C27" i="14" s="1"/>
  <c r="F19" i="14"/>
  <c r="F18" i="14"/>
  <c r="F17" i="14"/>
  <c r="F16" i="14"/>
  <c r="F15" i="14"/>
  <c r="F14" i="14"/>
  <c r="F13" i="14"/>
  <c r="F12" i="14"/>
  <c r="F11" i="14"/>
  <c r="F10" i="14"/>
  <c r="F9" i="14"/>
  <c r="F8" i="14"/>
  <c r="F7" i="14"/>
  <c r="F6" i="14"/>
  <c r="F5" i="14"/>
  <c r="C30" i="11"/>
  <c r="C7" i="12" l="1"/>
  <c r="C12" i="12"/>
  <c r="B20" i="12"/>
  <c r="B22" i="12" s="1"/>
  <c r="F21" i="14"/>
  <c r="C28" i="14" s="1"/>
  <c r="C17" i="8" s="1"/>
  <c r="B26" i="8"/>
  <c r="B21" i="12"/>
  <c r="C20" i="10"/>
  <c r="C47" i="11" l="1"/>
  <c r="C48" i="11" s="1"/>
  <c r="C19" i="10"/>
  <c r="C5" i="12" s="1"/>
  <c r="C18" i="8" l="1"/>
  <c r="C16" i="8"/>
  <c r="C12" i="8"/>
  <c r="C8" i="8"/>
  <c r="C10" i="8"/>
  <c r="C9" i="8"/>
  <c r="C7" i="8"/>
  <c r="C6" i="8"/>
  <c r="C13" i="12"/>
  <c r="C6" i="12"/>
  <c r="C33" i="11"/>
  <c r="C29" i="11"/>
  <c r="C16" i="12" l="1"/>
  <c r="C41" i="11"/>
  <c r="C37" i="11"/>
  <c r="C5" i="8"/>
  <c r="C11" i="8" s="1"/>
  <c r="C9" i="12"/>
  <c r="C15" i="12" s="1"/>
  <c r="C32" i="11"/>
  <c r="C34" i="11"/>
  <c r="C49" i="11" l="1"/>
  <c r="C43" i="11"/>
  <c r="C13" i="8" l="1"/>
  <c r="C19" i="8"/>
  <c r="C21"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22" authorId="0" shapeId="0" xr:uid="{00000000-0006-0000-0000-000001000000}">
      <text>
        <r>
          <rPr>
            <b/>
            <sz val="9"/>
            <color indexed="81"/>
            <rFont val="Tahoma"/>
            <family val="2"/>
          </rPr>
          <t>Roosmarijn Goldbach:</t>
        </r>
        <r>
          <rPr>
            <sz val="9"/>
            <color indexed="81"/>
            <rFont val="Tahoma"/>
            <family val="2"/>
          </rPr>
          <t xml:space="preserve">
Voorbeeldopmerking.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18" authorId="0" shapeId="0" xr:uid="{00000000-0006-0000-0100-000001000000}">
      <text>
        <r>
          <rPr>
            <b/>
            <sz val="9"/>
            <color indexed="81"/>
            <rFont val="Tahoma"/>
            <family val="2"/>
          </rPr>
          <t>Roosmarijn Goldbach:</t>
        </r>
        <r>
          <rPr>
            <sz val="9"/>
            <color indexed="81"/>
            <rFont val="Tahoma"/>
            <family val="2"/>
          </rPr>
          <t xml:space="preserve">
Aanname: De aanschaf- en installatiekosten per paneel worden berekend als 1.1*vermogen. </t>
        </r>
      </text>
    </comment>
    <comment ref="B19" authorId="0" shapeId="0" xr:uid="{00000000-0006-0000-0100-000002000000}">
      <text>
        <r>
          <rPr>
            <b/>
            <sz val="9"/>
            <color indexed="81"/>
            <rFont val="Tahoma"/>
            <family val="2"/>
          </rPr>
          <t>Roosmarijn Goldbach:</t>
        </r>
        <r>
          <rPr>
            <sz val="9"/>
            <color indexed="81"/>
            <rFont val="Tahoma"/>
            <family val="2"/>
          </rPr>
          <t xml:space="preserve">
Aanname: De productie- of inkoopkosten van de leverancier per paneel worden berekend als 1*vermogen. </t>
        </r>
      </text>
    </comment>
    <comment ref="B20" authorId="0" shapeId="0" xr:uid="{00000000-0006-0000-0100-000003000000}">
      <text>
        <r>
          <rPr>
            <b/>
            <sz val="9"/>
            <color indexed="81"/>
            <rFont val="Tahoma"/>
            <family val="2"/>
          </rPr>
          <t>Roosmarijn Goldbach:</t>
        </r>
        <r>
          <rPr>
            <sz val="9"/>
            <color indexed="81"/>
            <rFont val="Tahoma"/>
            <family val="2"/>
          </rPr>
          <t xml:space="preserve">
Aanname: De opbrengst per paneel in kWh per jaar is uitgerekend als 0,925*vermogen.
Als vuistregel geldt dat een in Nederland opgesteld zonnepaneel voor een theoretisch vermogen van één wattpiek een opbrengst kan genereren van ongeveer 0,85 tot 1 kilowattuur elektriciteit per jaar. Bron: https://nl.wikipedia.org/wiki/Wattpiek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5" authorId="0" shapeId="0" xr:uid="{00000000-0006-0000-0200-000001000000}">
      <text>
        <r>
          <rPr>
            <b/>
            <sz val="9"/>
            <color indexed="81"/>
            <rFont val="Tahoma"/>
            <family val="2"/>
          </rPr>
          <t>Roosmarijn Goldbach:</t>
        </r>
        <r>
          <rPr>
            <sz val="9"/>
            <color indexed="81"/>
            <rFont val="Tahoma"/>
            <family val="2"/>
          </rPr>
          <t xml:space="preserve">
Toelichting: Het aantal zonnepanelen kan als volgt geschat worden: dakoppervlakte (m2) gedeeld door 2.5. 
Een zonnepaneleninstallatie geeft gemiddeld een dakbelasting tussen de 10 en 20 kg per m2. Er wordt aangeraden om bij een ervaren installatieadviseur advies in te winnen over de maximale dakbelasting. </t>
        </r>
      </text>
    </comment>
    <comment ref="B9" authorId="0" shapeId="0" xr:uid="{00000000-0006-0000-0200-000002000000}">
      <text>
        <r>
          <rPr>
            <b/>
            <sz val="9"/>
            <color indexed="81"/>
            <rFont val="Tahoma"/>
            <family val="2"/>
          </rPr>
          <t>Roosmarijn Goldbach:</t>
        </r>
        <r>
          <rPr>
            <sz val="9"/>
            <color indexed="81"/>
            <rFont val="Tahoma"/>
            <family val="2"/>
          </rPr>
          <t xml:space="preserve">
Toelichting: Vul hier de extra kosten in die een bedrijf moet maken om de installatie van zonnepanelen mogelijk te maken. Hierbij kan bijvoorbeeld gedacht worden aan het inwinnen van advies over dakbelasting, eventuele dakversterking, et cetera. </t>
        </r>
      </text>
    </comment>
    <comment ref="B12" authorId="0" shapeId="0" xr:uid="{00000000-0006-0000-0200-000003000000}">
      <text>
        <r>
          <rPr>
            <b/>
            <sz val="9"/>
            <color indexed="81"/>
            <rFont val="Tahoma"/>
            <family val="2"/>
          </rPr>
          <t>Roosmarijn Goldbach:</t>
        </r>
        <r>
          <rPr>
            <sz val="9"/>
            <color indexed="81"/>
            <rFont val="Tahoma"/>
            <family val="2"/>
          </rPr>
          <t xml:space="preserve">
Toelichting: Om in aanmerking te komen voor SDE-subsidie moet het totale vermogen van de installatie </t>
        </r>
        <r>
          <rPr>
            <sz val="9"/>
            <color indexed="81"/>
            <rFont val="Calibri"/>
            <family val="2"/>
          </rPr>
          <t>≥</t>
        </r>
        <r>
          <rPr>
            <sz val="9"/>
            <color indexed="81"/>
            <rFont val="Tahoma"/>
            <family val="2"/>
          </rPr>
          <t xml:space="preserve"> 15kWp zijn. Dat wordt hier automatisch berekend. 
</t>
        </r>
      </text>
    </comment>
    <comment ref="B13" authorId="0" shapeId="0" xr:uid="{00000000-0006-0000-0200-000004000000}">
      <text>
        <r>
          <rPr>
            <b/>
            <sz val="9"/>
            <color indexed="81"/>
            <rFont val="Tahoma"/>
            <family val="2"/>
          </rPr>
          <t>Roosmarijn Goldbach:</t>
        </r>
        <r>
          <rPr>
            <sz val="9"/>
            <color indexed="81"/>
            <rFont val="Tahoma"/>
            <family val="2"/>
          </rPr>
          <t xml:space="preserve">
Toelichting: SDE en EIA mogen niet gecombineerd worden. 
Aanname: Omdat SDE-subsidie over het algemeen hoger is dan EIA, is aangenomen dat die de prioriteit heeft. Dus, wanneer mogelijk, wordt gerekend met SDE-subsidie. Alleen als een bedrijf hiervoor niet in aanmerking komt, wordt met EIA gerekend. </t>
        </r>
      </text>
    </comment>
    <comment ref="B39" authorId="0" shapeId="0" xr:uid="{00000000-0006-0000-0200-000005000000}">
      <text>
        <r>
          <rPr>
            <b/>
            <sz val="9"/>
            <color indexed="81"/>
            <rFont val="Tahoma"/>
            <family val="2"/>
          </rPr>
          <t>Roosmarijn Goldbach:</t>
        </r>
        <r>
          <rPr>
            <sz val="9"/>
            <color indexed="81"/>
            <rFont val="Tahoma"/>
            <family val="2"/>
          </rPr>
          <t xml:space="preserve">
Aanname: De aftrek van de investering in zonnecellen leidt er niet toe dat de fiscale winst van het bedrijf in in een andere belastingsschrijf valt. Dat laatste kan gebeuren, maar de kans daarop is klein. Als het gebeurt, maakt het ook weinig uit. Een paar honderd euro minder subsidie bij een winst van rond de 200.000 euro is verwaarloosbaar. </t>
        </r>
      </text>
    </comment>
    <comment ref="B49" authorId="0" shapeId="0" xr:uid="{00000000-0006-0000-0200-000006000000}">
      <text>
        <r>
          <rPr>
            <b/>
            <sz val="9"/>
            <color indexed="81"/>
            <rFont val="Tahoma"/>
            <family val="2"/>
          </rPr>
          <t>Roosmarijn Goldbach:</t>
        </r>
        <r>
          <rPr>
            <sz val="9"/>
            <color indexed="81"/>
            <rFont val="Tahoma"/>
            <family val="2"/>
          </rPr>
          <t xml:space="preserve">
Aanname: De bespaarde hoeveel CO2 is uitgerekend door de energiebesparing in kWh te vermenigvuldigen met 0,0005925. Dit getal is ontleend aan de EPA eGRID emissietabellen.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C2" authorId="0" shapeId="0" xr:uid="{00000000-0006-0000-0300-000001000000}">
      <text>
        <r>
          <rPr>
            <b/>
            <sz val="9"/>
            <color indexed="81"/>
            <rFont val="Tahoma"/>
            <family val="2"/>
          </rPr>
          <t>Roosmarijn Goldbach:</t>
        </r>
        <r>
          <rPr>
            <sz val="9"/>
            <color indexed="81"/>
            <rFont val="Tahoma"/>
            <family val="2"/>
          </rPr>
          <t xml:space="preserve">
Toelichting: In dit overzicht kan de parkmanager de afspraken die hij met de verschillende bedrijven heeft gemaakt invullen. Deze informatie moet per bedrijf handmatig overgenomen worden uit de sheet 2. BC Bedrijf. </t>
        </r>
      </text>
    </comment>
    <comment ref="C4" authorId="0" shapeId="0" xr:uid="{00000000-0006-0000-0300-000002000000}">
      <text>
        <r>
          <rPr>
            <b/>
            <sz val="9"/>
            <color indexed="81"/>
            <rFont val="Tahoma"/>
            <family val="2"/>
          </rPr>
          <t>Roosmarijn Goldbach:</t>
        </r>
        <r>
          <rPr>
            <sz val="9"/>
            <color indexed="81"/>
            <rFont val="Tahoma"/>
            <family val="2"/>
          </rPr>
          <t xml:space="preserve">
Toelichting: Vul hier per bedrijf in hoeveel zonnepanelen het bedrijf wil kopen. </t>
        </r>
      </text>
    </comment>
    <comment ref="D4" authorId="0" shapeId="0" xr:uid="{00000000-0006-0000-0300-000003000000}">
      <text>
        <r>
          <rPr>
            <b/>
            <sz val="9"/>
            <color indexed="81"/>
            <rFont val="Tahoma"/>
            <family val="2"/>
          </rPr>
          <t>Roosmarijn Goldbach:</t>
        </r>
        <r>
          <rPr>
            <sz val="9"/>
            <color indexed="81"/>
            <rFont val="Tahoma"/>
            <family val="2"/>
          </rPr>
          <t xml:space="preserve">
Toelichting: Vul hier per bedrijf in hoeveel geld het bedrijf aan de parkmanager of een ondernemersvereniging betaalt als honorarium voor de geleverde werkzaamheden. </t>
        </r>
      </text>
    </comment>
    <comment ref="E4" authorId="0" shapeId="0" xr:uid="{00000000-0006-0000-0300-000004000000}">
      <text>
        <r>
          <rPr>
            <b/>
            <sz val="9"/>
            <color indexed="81"/>
            <rFont val="Tahoma"/>
            <family val="2"/>
          </rPr>
          <t>Roosmarijn Goldbach:</t>
        </r>
        <r>
          <rPr>
            <sz val="9"/>
            <color indexed="81"/>
            <rFont val="Tahoma"/>
            <family val="2"/>
          </rPr>
          <t xml:space="preserve">
Toelichting: Geef hier per bedrijf aan hoeveel procent van het inkoopvoordeel ten goede komt aan de parkmanager of een ondernemersvereniging. </t>
        </r>
      </text>
    </comment>
    <comment ref="G4" authorId="0" shapeId="0" xr:uid="{00000000-0006-0000-0300-000005000000}">
      <text>
        <r>
          <rPr>
            <b/>
            <sz val="9"/>
            <color indexed="81"/>
            <rFont val="Tahoma"/>
            <family val="2"/>
          </rPr>
          <t>Roosmarijn Goldbach:</t>
        </r>
        <r>
          <rPr>
            <sz val="9"/>
            <color indexed="81"/>
            <rFont val="Tahoma"/>
            <family val="2"/>
          </rPr>
          <t xml:space="preserve">
Toelichting: Vul hier per bedrijf de behaalde milieuwinst in. Dit getal kan worden gehaald uit de sheet 2. BC Bedrijf.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22" authorId="0" shapeId="0" xr:uid="{00000000-0006-0000-0400-000001000000}">
      <text>
        <r>
          <rPr>
            <b/>
            <sz val="9"/>
            <color indexed="81"/>
            <rFont val="Tahoma"/>
            <family val="2"/>
          </rPr>
          <t>Roosmarijn Goldbach:</t>
        </r>
        <r>
          <rPr>
            <sz val="9"/>
            <color indexed="81"/>
            <rFont val="Tahoma"/>
            <family val="2"/>
          </rPr>
          <t xml:space="preserve">
Aanname: De bespaarde hoeveel CO2 is uitgerekend door de energiebesparing in kWh te vermenigvuldigen met 0,0005925. Dit getal is ontleend aan de EPA eGRID emissietabellen.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27" authorId="0" shapeId="0" xr:uid="{00000000-0006-0000-0500-000001000000}">
      <text>
        <r>
          <rPr>
            <b/>
            <sz val="9"/>
            <color indexed="81"/>
            <rFont val="Tahoma"/>
            <family val="2"/>
          </rPr>
          <t>Roosmarijn Goldbach:</t>
        </r>
        <r>
          <rPr>
            <sz val="9"/>
            <color indexed="81"/>
            <rFont val="Tahoma"/>
            <family val="2"/>
          </rPr>
          <t xml:space="preserve">
Aanname: De bespaarde hoeveel CO2 is uitgerekend door de energiebesparing in kWh te vermenigvuldigen met 0,0005925. Dit getal is ontleend aan de EPA eGRID emissietabellen.</t>
        </r>
      </text>
    </comment>
  </commentList>
</comments>
</file>

<file path=xl/sharedStrings.xml><?xml version="1.0" encoding="utf-8"?>
<sst xmlns="http://schemas.openxmlformats.org/spreadsheetml/2006/main" count="254" uniqueCount="171">
  <si>
    <t>Kosten</t>
  </si>
  <si>
    <t>Voorbereiding informatiesessie</t>
  </si>
  <si>
    <t>Informatiesessie</t>
  </si>
  <si>
    <t>Bedrijfsbezoeken</t>
  </si>
  <si>
    <t>Huur, reis- en materiaalkosten</t>
  </si>
  <si>
    <t>Totale kosten</t>
  </si>
  <si>
    <t>Totale baten</t>
  </si>
  <si>
    <t xml:space="preserve">Saldo </t>
  </si>
  <si>
    <t>Subsidie</t>
  </si>
  <si>
    <t>Baten</t>
  </si>
  <si>
    <t>Terugverdientijd</t>
  </si>
  <si>
    <t>Uurtarief</t>
  </si>
  <si>
    <t>Uurbesteding - voorbereiding</t>
  </si>
  <si>
    <t>Uurbesteding - informatiesessie</t>
  </si>
  <si>
    <t>Uurbesteding - per bedrijfsbezoek</t>
  </si>
  <si>
    <t>Uurbesteding - evaluatie en leads</t>
  </si>
  <si>
    <t>Elektriciteitskosten per kWh</t>
  </si>
  <si>
    <t>Honorarium voor parkmanager</t>
  </si>
  <si>
    <t>Inkoopvoordeel</t>
  </si>
  <si>
    <t>Maximaal percentage acquisitiekosten</t>
  </si>
  <si>
    <t>Verdelingssleutel inkoopvoordeel</t>
  </si>
  <si>
    <t>Percentage inkoopvoordeel</t>
  </si>
  <si>
    <t>uur</t>
  </si>
  <si>
    <t>kWh</t>
  </si>
  <si>
    <t>%</t>
  </si>
  <si>
    <t>jaar</t>
  </si>
  <si>
    <t xml:space="preserve">euro </t>
  </si>
  <si>
    <t xml:space="preserve">uur </t>
  </si>
  <si>
    <t>euro</t>
  </si>
  <si>
    <t>stuks</t>
  </si>
  <si>
    <t>BUSINESS CASE PARKMANAGER</t>
  </si>
  <si>
    <t>Evaluatie en leads</t>
  </si>
  <si>
    <t>Honorarium leverancier</t>
  </si>
  <si>
    <t xml:space="preserve">Totale kosten </t>
  </si>
  <si>
    <t>Totale voorbereidingstijd</t>
  </si>
  <si>
    <t>BUSINESS CASE BEDRIJF</t>
  </si>
  <si>
    <t>Aanschaf- en installiekosten</t>
  </si>
  <si>
    <t>Uitbetaling inkoopvoordeel aan parkmanager</t>
  </si>
  <si>
    <t>Besparing op energierekening per jaar</t>
  </si>
  <si>
    <t>Honorarium parkmanager</t>
  </si>
  <si>
    <t xml:space="preserve">BUSINESS CASE LEVERANCIER </t>
  </si>
  <si>
    <t>Personeelskosten</t>
  </si>
  <si>
    <t>Saldo</t>
  </si>
  <si>
    <t>Acquistiepercentage</t>
  </si>
  <si>
    <t xml:space="preserve">Acquisitieuren </t>
  </si>
  <si>
    <t xml:space="preserve">Uurtarief </t>
  </si>
  <si>
    <t>Bedrijf 1</t>
  </si>
  <si>
    <t>Bedrijf 2</t>
  </si>
  <si>
    <t>Bedrijf 3</t>
  </si>
  <si>
    <t>Bedrijf 4</t>
  </si>
  <si>
    <t>Bedrijf 5</t>
  </si>
  <si>
    <t>Bedrijf 6</t>
  </si>
  <si>
    <t>Bedrijf 7</t>
  </si>
  <si>
    <t>Bedrijf 8</t>
  </si>
  <si>
    <t>Bedrijf 9</t>
  </si>
  <si>
    <t>Bedrijf 10</t>
  </si>
  <si>
    <t>Totaal</t>
  </si>
  <si>
    <t>TOTAALOVERZICHT DEELNEMENDE BEDRIJVEN</t>
  </si>
  <si>
    <t>Overig</t>
  </si>
  <si>
    <t>Aantal zonnepanelen</t>
  </si>
  <si>
    <t>Stroomverbruik per jaar</t>
  </si>
  <si>
    <t>Zonnepanelen</t>
  </si>
  <si>
    <t>Aanschaf- en installatiekosten per paneel</t>
  </si>
  <si>
    <t>Honorarium voor PM</t>
  </si>
  <si>
    <t>Aanvragen SDE</t>
  </si>
  <si>
    <t>Vermogen per paneel</t>
  </si>
  <si>
    <t>Wp</t>
  </si>
  <si>
    <t>Opbrengst per paneel</t>
  </si>
  <si>
    <t>kWh per jaar per Wp</t>
  </si>
  <si>
    <t>SDE-subsidie per jaar</t>
  </si>
  <si>
    <t>SDE-fasebedrag</t>
  </si>
  <si>
    <t>SDE-correctiebedrag</t>
  </si>
  <si>
    <t>Productie zonnepanelen</t>
  </si>
  <si>
    <t>Verkoop zonnepanelen</t>
  </si>
  <si>
    <t>euro per jaar</t>
  </si>
  <si>
    <t>SDE-kosten: meterhuur</t>
  </si>
  <si>
    <t>Subsidie voor PM</t>
  </si>
  <si>
    <t>BENODIGDE GEGEVENS VAN HET BEDRIJF</t>
  </si>
  <si>
    <t>Zonnepanelen en energie</t>
  </si>
  <si>
    <t>Totale bedrijfsinvestering (inclusief PV)</t>
  </si>
  <si>
    <t>Afspraken met PM</t>
  </si>
  <si>
    <t>Aanmerking voor EIA-subsidie?</t>
  </si>
  <si>
    <t>Aanmerking voor SDE-subsidie?</t>
  </si>
  <si>
    <t>SDE-kosten: installatie brutoproductiemeter</t>
  </si>
  <si>
    <t>Brutoproductiemeter aanwezig</t>
  </si>
  <si>
    <t>nee</t>
  </si>
  <si>
    <t>Eenmalige SDE-kosten: brutoproductiemeter</t>
  </si>
  <si>
    <t>KIA</t>
  </si>
  <si>
    <t>EIA</t>
  </si>
  <si>
    <t>Vennootschapsbelasting</t>
  </si>
  <si>
    <t>Terugleververgoeding</t>
  </si>
  <si>
    <t>MILIEUWINST DOOR BEDRIJF</t>
  </si>
  <si>
    <t>kWh per jaar</t>
  </si>
  <si>
    <t xml:space="preserve">MJ per jaar </t>
  </si>
  <si>
    <t>ton CO2 per jaar</t>
  </si>
  <si>
    <t>Bedrijfsnaam</t>
  </si>
  <si>
    <t>Verdeelsleutel (% voor bedrijf)</t>
  </si>
  <si>
    <t>Bedrijf 11</t>
  </si>
  <si>
    <t>Bedrijf 12</t>
  </si>
  <si>
    <t>Bedrijf 13</t>
  </si>
  <si>
    <t>Bedrijf 14</t>
  </si>
  <si>
    <t>Bedrijf 15</t>
  </si>
  <si>
    <t>TOTAALOVERZICHT</t>
  </si>
  <si>
    <t>Totaal aantal zonnepanelen</t>
  </si>
  <si>
    <t>Totale investering</t>
  </si>
  <si>
    <t>Totale milieuwinst</t>
  </si>
  <si>
    <t>BENODIGDE INVESTERING BIJ MAXIMUMPERCENTAGE ACQUISITIEKOSTEN</t>
  </si>
  <si>
    <t>Gegeven het maximumpercentage acquisitiekosten van de leverancier,</t>
  </si>
  <si>
    <t xml:space="preserve">laat deze tool zien hoe groot de minimale investering van het totale bedrijventerrein moet zijn. </t>
  </si>
  <si>
    <t xml:space="preserve">Minimale investering </t>
  </si>
  <si>
    <t>Uurbesteding - aanvraag SDE-subsidie</t>
  </si>
  <si>
    <t>Uitbetaling door bedrijven</t>
  </si>
  <si>
    <t>Aantal bedrijfsbezoeken</t>
  </si>
  <si>
    <t>Productie- of inkoopkosten per paneel</t>
  </si>
  <si>
    <t xml:space="preserve">Deze sheet bevat de uiteindelijke BC voor de parkmanager. </t>
  </si>
  <si>
    <t>5. BC Parkmanager</t>
  </si>
  <si>
    <t xml:space="preserve">Deze sheet bevat de uiteindelijke BC voor de leverancier. </t>
  </si>
  <si>
    <t>4. BC Leverancier</t>
  </si>
  <si>
    <t>Deze sheet bevat een tabel waarin de parkmanager de afspraken die hij met verschillende bedrijven heeft gemaakt kan invullen. Op basis hiervan worden de uiteindelijke BCs van de leverancier en de parkmanager uitgerekend.
Tevens kan deze sheet worden gebruikt om vooraf een inschatting te doen van de BC van de leverancier en de parkmanager door met geschatte waarden te werken.</t>
  </si>
  <si>
    <t>3. Bedrijvenoverzicht</t>
  </si>
  <si>
    <t xml:space="preserve">Deze sheet is een tool die de parkmanager mee kan nemen als hij op gesprek gaat bij bedrijven. Op basis van de gegevens van het bedrijf wordt de BC voor het bedrijf uitgerekend. </t>
  </si>
  <si>
    <t>2. BC Bedrijf</t>
  </si>
  <si>
    <t xml:space="preserve">Op deze sheet kunnen de gegevens van de parkmanager en de leverancier ingevuld worden. 
Ook is hier een tool te vinden om, gegeven een maximumpercentage acquisitiekosten voor de leverancier, de grootte van de investering voor het gehele bedrijventerrein  in te schatten. </t>
  </si>
  <si>
    <t>1. Gegevens PM en Leverancier</t>
  </si>
  <si>
    <t>Toelichting op de verschillende sheets</t>
  </si>
  <si>
    <t xml:space="preserve">Een aan een cel toegevoegde opmerking is te herkennen aan een rood driehoekje rechtsboven in de cel. </t>
  </si>
  <si>
    <t>Opmerkingen bij cellen</t>
  </si>
  <si>
    <t>Toelichting op invulvelden</t>
  </si>
  <si>
    <t xml:space="preserve">Gemaakte aannames in de berekeningen zijn weergegeven als opmerking bij de betreffende cel. </t>
  </si>
  <si>
    <t>Aannames</t>
  </si>
  <si>
    <t xml:space="preserve">Witte cellen zijn berekende waardes. </t>
  </si>
  <si>
    <t>Witte cel</t>
  </si>
  <si>
    <t xml:space="preserve">Lichtgekleurde cellen zijn invulvelden. </t>
  </si>
  <si>
    <t>Lichtgekleurde cel</t>
  </si>
  <si>
    <t>Algemeen</t>
  </si>
  <si>
    <t>Gebruikershandleiding</t>
  </si>
  <si>
    <t>Business Case: Parkmanager</t>
  </si>
  <si>
    <t>Business Case: Leverancier</t>
  </si>
  <si>
    <t>Bedrijvenoverzicht</t>
  </si>
  <si>
    <t>Business case: Bedrijf</t>
  </si>
  <si>
    <t>Gegevens: Parkmanager en Leverancier</t>
  </si>
  <si>
    <t>Ga naar…</t>
  </si>
  <si>
    <t>BENODIGDE GEGEVENS VAN DE PARKMANAGER</t>
  </si>
  <si>
    <t>BENODIGDE GEGEVENS VAN DE LEVERANCIER</t>
  </si>
  <si>
    <t>GA NAAR DE STARTPAGINA</t>
  </si>
  <si>
    <t>Disclaimer</t>
  </si>
  <si>
    <t xml:space="preserve">Deze globale business case tool is bedoeld om een inschatting te geven van de kosten en baten van de verschillende partijen. Aan de berekening kunnen geen rechten worden ontleend. </t>
  </si>
  <si>
    <t>euro per kWh</t>
  </si>
  <si>
    <t>Extra kosten</t>
  </si>
  <si>
    <t>% voor bedrijf</t>
  </si>
  <si>
    <t>CO2 besparing per jaar</t>
  </si>
  <si>
    <t xml:space="preserve">ton </t>
  </si>
  <si>
    <t xml:space="preserve">Energiebesparing per jaar </t>
  </si>
  <si>
    <t>Honorarium voor PM (euro)</t>
  </si>
  <si>
    <t>Baten voor PM (euro)</t>
  </si>
  <si>
    <t>Milieuwinst (kWh per jaar)</t>
  </si>
  <si>
    <r>
      <t xml:space="preserve">Totale baten: bedrijven </t>
    </r>
    <r>
      <rPr>
        <sz val="11"/>
        <color theme="3" tint="0.39997558519241921"/>
        <rFont val="Calibri"/>
        <family val="2"/>
      </rPr>
      <t>→ PM</t>
    </r>
  </si>
  <si>
    <t>MILIEUWINST DOOR GEHELE PARK</t>
  </si>
  <si>
    <t>MJ</t>
  </si>
  <si>
    <t xml:space="preserve">Specifieke toelichting op een invulveld is, indien nodig, weergegeven als opmerking bij de betreffende cel. </t>
  </si>
  <si>
    <t>Voorbereiding</t>
  </si>
  <si>
    <t>Datum: September 2016</t>
  </si>
  <si>
    <t>Rapportnummer: TNO 2016 R11162</t>
  </si>
  <si>
    <t>Dit is een resultaat in het kader van: Topsector Energie - Samenwerking Topsector Energie en Maatschappij - TESA114007 Energiemaatregelen op bedrijventerreinen</t>
  </si>
  <si>
    <t>Partners:</t>
  </si>
  <si>
    <t>Roosmarijn Goldbach, Guus Mulder (TNO), Jaap Kortman (IVAM) en  Gerard Fit (ECWF)</t>
  </si>
  <si>
    <t>≤ 2400</t>
  </si>
  <si>
    <t>2400 - 59170</t>
  </si>
  <si>
    <t>59171 - 109574</t>
  </si>
  <si>
    <t>109574-328721</t>
  </si>
  <si>
    <t>&gt; 328721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</si>
</sst>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4" x14ac:knownFonts="1">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b/>
      <sz val="11"/>
      <color theme="9" tint="-0.499984740745262"/>
      <name val="Calibri"/>
      <family val="2"/>
      <scheme val="minor"/>
    </font>
    <font>
      <b/>
      <sz val="11"/>
      <color theme="9" tint="-0.249977111117893"/>
      <name val="Calibri"/>
      <family val="2"/>
      <scheme val="minor"/>
    </font>
    <font>
      <sz val="11"/>
      <color theme="0" tint="-0.499984740745262"/>
      <name val="Calibri"/>
      <family val="2"/>
      <scheme val="minor"/>
    </font>
    <font>
      <b/>
      <sz val="11"/>
      <color theme="6" tint="-0.249977111117893"/>
      <name val="Calibri"/>
      <family val="2"/>
      <scheme val="minor"/>
    </font>
    <font>
      <b/>
      <sz val="11"/>
      <color theme="6" tint="-0.499984740745262"/>
      <name val="Calibri"/>
      <family val="2"/>
      <scheme val="minor"/>
    </font>
    <font>
      <sz val="11"/>
      <color theme="9" tint="-0.249977111117893"/>
      <name val="Calibri"/>
      <family val="2"/>
      <scheme val="minor"/>
    </font>
    <font>
      <sz val="9"/>
      <color indexed="81"/>
      <name val="Tahoma"/>
      <family val="2"/>
    </font>
    <font>
      <b/>
      <sz val="9"/>
      <color indexed="81"/>
      <name val="Tahoma"/>
      <family val="2"/>
    </font>
    <font>
      <sz val="11"/>
      <name val="Calibri"/>
      <family val="2"/>
      <scheme val="minor"/>
    </font>
    <font>
      <sz val="9"/>
      <color indexed="81"/>
      <name val="Calibri"/>
      <family val="2"/>
    </font>
    <font>
      <sz val="11"/>
      <color rgb="FF006100"/>
      <name val="Calibri"/>
      <family val="2"/>
      <scheme val="minor"/>
    </font>
    <font>
      <sz val="11"/>
      <color theme="0"/>
      <name val="Calibri"/>
      <family val="2"/>
      <scheme val="minor"/>
    </font>
    <font>
      <b/>
      <sz val="11"/>
      <color rgb="FF006100"/>
      <name val="Calibri"/>
      <family val="2"/>
      <scheme val="minor"/>
    </font>
    <font>
      <sz val="11"/>
      <color theme="0"/>
      <name val="Calibri"/>
      <family val="2"/>
    </font>
    <font>
      <sz val="11"/>
      <color theme="7" tint="0.39997558519241921"/>
      <name val="Calibri"/>
      <family val="2"/>
      <scheme val="minor"/>
    </font>
    <font>
      <sz val="11"/>
      <color theme="7" tint="-0.249977111117893"/>
      <name val="Calibri"/>
      <family val="2"/>
      <scheme val="minor"/>
    </font>
    <font>
      <b/>
      <sz val="11"/>
      <color theme="0"/>
      <name val="Calibri"/>
      <family val="2"/>
      <scheme val="minor"/>
    </font>
    <font>
      <b/>
      <sz val="24"/>
      <color theme="1"/>
      <name val="Calibri"/>
      <family val="2"/>
      <scheme val="minor"/>
    </font>
    <font>
      <u/>
      <sz val="11"/>
      <color theme="10"/>
      <name val="Calibri"/>
      <family val="2"/>
      <scheme val="minor"/>
    </font>
    <font>
      <sz val="24"/>
      <color theme="0"/>
      <name val="Calibri"/>
      <family val="2"/>
      <scheme val="minor"/>
    </font>
    <font>
      <sz val="22"/>
      <color theme="1"/>
      <name val="Calibri"/>
      <family val="2"/>
      <scheme val="minor"/>
    </font>
    <font>
      <sz val="11"/>
      <color theme="3" tint="0.39997558519241921"/>
      <name val="Calibri"/>
      <family val="2"/>
      <scheme val="minor"/>
    </font>
    <font>
      <b/>
      <sz val="11"/>
      <color theme="3" tint="0.39997558519241921"/>
      <name val="Calibri"/>
      <family val="2"/>
      <scheme val="minor"/>
    </font>
    <font>
      <b/>
      <sz val="24"/>
      <color theme="0"/>
      <name val="Calibri"/>
      <family val="2"/>
      <scheme val="minor"/>
    </font>
    <font>
      <sz val="11"/>
      <color theme="6" tint="-0.249977111117893"/>
      <name val="Calibri"/>
      <family val="2"/>
      <scheme val="minor"/>
    </font>
    <font>
      <sz val="11"/>
      <color theme="3" tint="0.39997558519241921"/>
      <name val="Calibri"/>
      <family val="2"/>
    </font>
    <font>
      <b/>
      <sz val="11"/>
      <color theme="0" tint="-0.499984740745262"/>
      <name val="Calibri"/>
      <family val="2"/>
      <scheme val="minor"/>
    </font>
    <font>
      <sz val="11"/>
      <color rgb="FF92D050"/>
      <name val="Calibri"/>
      <family val="2"/>
      <scheme val="minor"/>
    </font>
    <font>
      <sz val="12"/>
      <color theme="1"/>
      <name val="Arial"/>
      <family val="2"/>
    </font>
    <font>
      <sz val="11"/>
      <color rgb="FFFF0000"/>
      <name val="Calibri"/>
      <family val="2"/>
      <scheme val="minor"/>
    </font>
  </fonts>
  <fills count="10">
    <fill>
      <patternFill patternType="none"/>
    </fill>
    <fill>
      <patternFill patternType="gray125"/>
    </fill>
    <fill>
      <patternFill patternType="solid">
        <fgColor theme="9" tint="0.59999389629810485"/>
        <bgColor indexed="65"/>
      </patternFill>
    </fill>
    <fill>
      <patternFill patternType="solid">
        <fgColor theme="9" tint="0.59999389629810485"/>
        <bgColor indexed="64"/>
      </patternFill>
    </fill>
    <fill>
      <patternFill patternType="solid">
        <fgColor theme="0"/>
        <bgColor indexed="64"/>
      </patternFill>
    </fill>
    <fill>
      <patternFill patternType="solid">
        <fgColor rgb="FFC6EFCE"/>
      </patternFill>
    </fill>
    <fill>
      <patternFill patternType="solid">
        <fgColor theme="1"/>
        <bgColor indexed="64"/>
      </patternFill>
    </fill>
    <fill>
      <patternFill patternType="solid">
        <fgColor theme="0" tint="-0.34998626667073579"/>
        <bgColor indexed="64"/>
      </patternFill>
    </fill>
    <fill>
      <patternFill patternType="solid">
        <fgColor theme="1" tint="0.14999847407452621"/>
        <bgColor indexed="64"/>
      </patternFill>
    </fill>
    <fill>
      <patternFill patternType="solid">
        <fgColor theme="0" tint="-0.499984740745262"/>
        <bgColor indexed="64"/>
      </patternFill>
    </fill>
  </fills>
  <borders count="17">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 fillId="2" borderId="0" applyNumberFormat="0" applyBorder="0" applyAlignment="0" applyProtection="0"/>
    <xf numFmtId="0" fontId="14" fillId="5" borderId="0" applyNumberFormat="0" applyBorder="0" applyAlignment="0" applyProtection="0"/>
    <xf numFmtId="0" fontId="22" fillId="0" borderId="0" applyNumberFormat="0" applyFill="0" applyBorder="0" applyAlignment="0" applyProtection="0"/>
  </cellStyleXfs>
  <cellXfs count="198">
    <xf numFmtId="0" fontId="0" fillId="0" borderId="0" xfId="0"/>
    <xf numFmtId="0" fontId="2" fillId="4" borderId="2" xfId="0" applyFont="1" applyFill="1" applyBorder="1"/>
    <xf numFmtId="0" fontId="0" fillId="4" borderId="3" xfId="0" applyFill="1" applyBorder="1"/>
    <xf numFmtId="0" fontId="0" fillId="4" borderId="4" xfId="0" applyFill="1" applyBorder="1"/>
    <xf numFmtId="0" fontId="0" fillId="4" borderId="1" xfId="0" applyFill="1" applyBorder="1"/>
    <xf numFmtId="0" fontId="0" fillId="4" borderId="0" xfId="0" applyFill="1" applyBorder="1"/>
    <xf numFmtId="0" fontId="0" fillId="4" borderId="5" xfId="0" applyFill="1" applyBorder="1"/>
    <xf numFmtId="0" fontId="2" fillId="4" borderId="1" xfId="0" applyFont="1" applyFill="1" applyBorder="1"/>
    <xf numFmtId="0" fontId="6" fillId="4" borderId="1" xfId="0" applyFont="1" applyFill="1" applyBorder="1"/>
    <xf numFmtId="0" fontId="6" fillId="4" borderId="5" xfId="0" applyFont="1" applyFill="1" applyBorder="1"/>
    <xf numFmtId="0" fontId="0" fillId="4" borderId="5" xfId="0" applyFont="1" applyFill="1" applyBorder="1"/>
    <xf numFmtId="0" fontId="0" fillId="0" borderId="3" xfId="0" applyBorder="1" applyAlignment="1">
      <alignment horizontal="right"/>
    </xf>
    <xf numFmtId="0" fontId="0" fillId="0" borderId="0" xfId="0"/>
    <xf numFmtId="0" fontId="0" fillId="0" borderId="4" xfId="0" applyBorder="1"/>
    <xf numFmtId="0" fontId="0" fillId="0" borderId="1" xfId="0" applyBorder="1"/>
    <xf numFmtId="0" fontId="0" fillId="0" borderId="0" xfId="0" applyBorder="1"/>
    <xf numFmtId="0" fontId="0" fillId="0" borderId="6" xfId="0" applyBorder="1"/>
    <xf numFmtId="0" fontId="5" fillId="0" borderId="1" xfId="0" applyFont="1" applyBorder="1"/>
    <xf numFmtId="0" fontId="6" fillId="0" borderId="5" xfId="0" applyFont="1" applyBorder="1"/>
    <xf numFmtId="0" fontId="0" fillId="0" borderId="1" xfId="0" applyFill="1" applyBorder="1"/>
    <xf numFmtId="0" fontId="0" fillId="0" borderId="6" xfId="0" applyFill="1" applyBorder="1"/>
    <xf numFmtId="0" fontId="6" fillId="0" borderId="7" xfId="0" applyFont="1" applyFill="1" applyBorder="1"/>
    <xf numFmtId="0" fontId="6" fillId="0" borderId="7" xfId="0" applyFont="1" applyBorder="1"/>
    <xf numFmtId="0" fontId="9" fillId="0" borderId="1" xfId="0" applyFont="1" applyBorder="1"/>
    <xf numFmtId="0" fontId="6" fillId="0" borderId="4" xfId="0" applyFont="1" applyBorder="1"/>
    <xf numFmtId="0" fontId="0" fillId="0" borderId="0" xfId="0" applyBorder="1" applyAlignment="1">
      <alignment horizontal="right"/>
    </xf>
    <xf numFmtId="0" fontId="0" fillId="4" borderId="0" xfId="0" applyNumberFormat="1" applyFill="1" applyBorder="1" applyAlignment="1">
      <alignment horizontal="left"/>
    </xf>
    <xf numFmtId="0" fontId="12" fillId="0" borderId="0" xfId="0" applyFont="1"/>
    <xf numFmtId="0" fontId="0" fillId="0" borderId="3" xfId="0" applyBorder="1"/>
    <xf numFmtId="0" fontId="0" fillId="0" borderId="4" xfId="0" applyBorder="1"/>
    <xf numFmtId="0" fontId="0" fillId="0" borderId="1" xfId="0" applyBorder="1"/>
    <xf numFmtId="0" fontId="0" fillId="0" borderId="0" xfId="0" applyBorder="1"/>
    <xf numFmtId="0" fontId="0" fillId="0" borderId="5" xfId="0" applyBorder="1"/>
    <xf numFmtId="0" fontId="3" fillId="0" borderId="1" xfId="0" applyFont="1" applyBorder="1"/>
    <xf numFmtId="0" fontId="0" fillId="0" borderId="6" xfId="0" applyBorder="1"/>
    <xf numFmtId="0" fontId="6" fillId="0" borderId="5" xfId="0" applyFont="1" applyBorder="1"/>
    <xf numFmtId="0" fontId="4" fillId="0" borderId="2" xfId="0" applyFont="1" applyBorder="1"/>
    <xf numFmtId="0" fontId="0" fillId="0" borderId="1" xfId="0" applyFill="1" applyBorder="1"/>
    <xf numFmtId="0" fontId="9" fillId="0" borderId="1" xfId="0" applyFont="1" applyBorder="1"/>
    <xf numFmtId="0" fontId="9" fillId="0" borderId="1" xfId="0" applyFont="1" applyFill="1" applyBorder="1"/>
    <xf numFmtId="0" fontId="0" fillId="0" borderId="0" xfId="0"/>
    <xf numFmtId="0" fontId="0" fillId="0" borderId="1" xfId="0" applyBorder="1"/>
    <xf numFmtId="0" fontId="0" fillId="0" borderId="0" xfId="0" applyBorder="1"/>
    <xf numFmtId="0" fontId="0" fillId="0" borderId="5" xfId="0" applyBorder="1"/>
    <xf numFmtId="0" fontId="2" fillId="4" borderId="2" xfId="0" applyFont="1" applyFill="1" applyBorder="1"/>
    <xf numFmtId="0" fontId="0" fillId="4" borderId="3" xfId="0" applyFill="1" applyBorder="1"/>
    <xf numFmtId="0" fontId="0" fillId="4" borderId="4" xfId="0" applyFill="1" applyBorder="1"/>
    <xf numFmtId="0" fontId="0" fillId="4" borderId="1" xfId="0" applyFill="1" applyBorder="1"/>
    <xf numFmtId="0" fontId="0" fillId="4" borderId="0" xfId="0" applyFill="1" applyBorder="1"/>
    <xf numFmtId="0" fontId="0" fillId="4" borderId="5" xfId="0" applyFill="1" applyBorder="1"/>
    <xf numFmtId="0" fontId="2" fillId="4" borderId="1" xfId="0" applyFont="1" applyFill="1" applyBorder="1"/>
    <xf numFmtId="0" fontId="0" fillId="4" borderId="1" xfId="0" applyFont="1" applyFill="1" applyBorder="1"/>
    <xf numFmtId="0" fontId="6" fillId="4" borderId="1" xfId="0" applyFont="1" applyFill="1" applyBorder="1"/>
    <xf numFmtId="0" fontId="12" fillId="4" borderId="5" xfId="0" applyFont="1" applyFill="1" applyBorder="1"/>
    <xf numFmtId="0" fontId="12" fillId="4" borderId="1" xfId="0" applyFont="1" applyFill="1" applyBorder="1"/>
    <xf numFmtId="0" fontId="15" fillId="0" borderId="0" xfId="0" applyFont="1" applyAlignment="1">
      <alignment horizontal="left"/>
    </xf>
    <xf numFmtId="0" fontId="0" fillId="0" borderId="0" xfId="0" applyBorder="1" applyAlignment="1">
      <alignment horizontal="left"/>
    </xf>
    <xf numFmtId="0" fontId="8" fillId="0" borderId="3" xfId="0" applyFont="1" applyBorder="1"/>
    <xf numFmtId="0" fontId="0" fillId="0" borderId="0" xfId="0"/>
    <xf numFmtId="0" fontId="0" fillId="0" borderId="0" xfId="0"/>
    <xf numFmtId="0" fontId="0" fillId="0" borderId="3" xfId="0" applyBorder="1"/>
    <xf numFmtId="0" fontId="0" fillId="0" borderId="4" xfId="0" applyBorder="1"/>
    <xf numFmtId="0" fontId="0" fillId="0" borderId="6" xfId="0" applyBorder="1"/>
    <xf numFmtId="0" fontId="0" fillId="0" borderId="1" xfId="0" applyFill="1" applyBorder="1"/>
    <xf numFmtId="0" fontId="7" fillId="0" borderId="0" xfId="0" applyFont="1" applyBorder="1"/>
    <xf numFmtId="0" fontId="8" fillId="0" borderId="2" xfId="0" applyFont="1" applyBorder="1"/>
    <xf numFmtId="0" fontId="0" fillId="0" borderId="0" xfId="0" applyFill="1" applyBorder="1"/>
    <xf numFmtId="0" fontId="0" fillId="0" borderId="5" xfId="0" applyBorder="1"/>
    <xf numFmtId="0" fontId="0" fillId="0" borderId="7" xfId="0" applyBorder="1"/>
    <xf numFmtId="0" fontId="16" fillId="4" borderId="2" xfId="2" applyFont="1" applyFill="1" applyBorder="1"/>
    <xf numFmtId="0" fontId="14" fillId="4" borderId="4" xfId="2" applyFill="1" applyBorder="1"/>
    <xf numFmtId="0" fontId="14" fillId="4" borderId="1" xfId="2" applyFill="1" applyBorder="1"/>
    <xf numFmtId="0" fontId="14" fillId="4" borderId="5" xfId="2" applyFill="1" applyBorder="1"/>
    <xf numFmtId="0" fontId="19" fillId="0" borderId="3" xfId="0" applyFont="1" applyBorder="1"/>
    <xf numFmtId="0" fontId="19" fillId="0" borderId="4" xfId="0" applyFont="1" applyBorder="1"/>
    <xf numFmtId="0" fontId="18" fillId="0" borderId="0" xfId="0" applyFont="1" applyBorder="1"/>
    <xf numFmtId="0" fontId="18" fillId="0" borderId="5" xfId="0" applyFont="1" applyBorder="1"/>
    <xf numFmtId="0" fontId="19" fillId="0" borderId="0" xfId="0" applyFont="1" applyBorder="1"/>
    <xf numFmtId="0" fontId="0" fillId="0" borderId="1" xfId="0" applyBorder="1"/>
    <xf numFmtId="0" fontId="0" fillId="0" borderId="0" xfId="0" applyBorder="1"/>
    <xf numFmtId="0" fontId="6" fillId="0" borderId="5" xfId="0" applyFont="1" applyBorder="1"/>
    <xf numFmtId="0" fontId="2" fillId="4" borderId="2" xfId="0" applyFont="1" applyFill="1" applyBorder="1"/>
    <xf numFmtId="0" fontId="0" fillId="4" borderId="3" xfId="0" applyFill="1" applyBorder="1"/>
    <xf numFmtId="0" fontId="0" fillId="4" borderId="4" xfId="0" applyFill="1" applyBorder="1"/>
    <xf numFmtId="0" fontId="0" fillId="4" borderId="1" xfId="0" applyFill="1" applyBorder="1"/>
    <xf numFmtId="0" fontId="0" fillId="4" borderId="0" xfId="0" applyFill="1" applyBorder="1"/>
    <xf numFmtId="0" fontId="0" fillId="4" borderId="5" xfId="0" applyFill="1" applyBorder="1"/>
    <xf numFmtId="0" fontId="2" fillId="4" borderId="1" xfId="0" applyFont="1" applyFill="1" applyBorder="1"/>
    <xf numFmtId="3" fontId="0" fillId="0" borderId="3" xfId="0" applyNumberFormat="1" applyBorder="1"/>
    <xf numFmtId="3" fontId="1" fillId="4" borderId="0" xfId="1" applyNumberFormat="1" applyFill="1" applyBorder="1" applyAlignment="1">
      <alignment horizontal="right"/>
    </xf>
    <xf numFmtId="3" fontId="0" fillId="0" borderId="0" xfId="0" applyNumberFormat="1" applyBorder="1" applyAlignment="1">
      <alignment horizontal="right"/>
    </xf>
    <xf numFmtId="3" fontId="7" fillId="4" borderId="1" xfId="2" applyNumberFormat="1" applyFont="1" applyFill="1" applyBorder="1" applyAlignment="1">
      <alignment horizontal="left"/>
    </xf>
    <xf numFmtId="164" fontId="7" fillId="4" borderId="6" xfId="2" applyNumberFormat="1" applyFont="1" applyFill="1" applyBorder="1" applyAlignment="1">
      <alignment horizontal="left"/>
    </xf>
    <xf numFmtId="3" fontId="0" fillId="4" borderId="0" xfId="0" applyNumberFormat="1" applyFill="1" applyBorder="1"/>
    <xf numFmtId="3" fontId="0" fillId="0" borderId="0" xfId="0" applyNumberFormat="1" applyBorder="1"/>
    <xf numFmtId="3" fontId="17" fillId="0" borderId="0" xfId="0" applyNumberFormat="1" applyFont="1" applyAlignment="1">
      <alignment horizontal="left"/>
    </xf>
    <xf numFmtId="3" fontId="15" fillId="0" borderId="0" xfId="0" applyNumberFormat="1" applyFont="1" applyAlignment="1">
      <alignment horizontal="left"/>
    </xf>
    <xf numFmtId="3" fontId="0" fillId="0" borderId="0" xfId="0" applyNumberFormat="1" applyFill="1" applyBorder="1" applyAlignment="1">
      <alignment horizontal="left"/>
    </xf>
    <xf numFmtId="3" fontId="0" fillId="0" borderId="0" xfId="0" applyNumberFormat="1" applyBorder="1" applyAlignment="1">
      <alignment horizontal="left"/>
    </xf>
    <xf numFmtId="3" fontId="0" fillId="4" borderId="0" xfId="0" applyNumberFormat="1" applyFill="1" applyBorder="1" applyAlignment="1">
      <alignment horizontal="left"/>
    </xf>
    <xf numFmtId="3" fontId="0" fillId="0" borderId="5" xfId="0" applyNumberFormat="1" applyBorder="1" applyAlignment="1">
      <alignment horizontal="left"/>
    </xf>
    <xf numFmtId="3" fontId="6" fillId="4" borderId="0" xfId="0" applyNumberFormat="1" applyFont="1" applyFill="1" applyBorder="1"/>
    <xf numFmtId="0" fontId="0" fillId="0" borderId="7" xfId="0" applyBorder="1" applyAlignment="1">
      <alignment vertical="center"/>
    </xf>
    <xf numFmtId="0" fontId="0" fillId="0" borderId="6"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9"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xf>
    <xf numFmtId="0" fontId="15" fillId="6" borderId="4" xfId="0" applyFont="1" applyFill="1" applyBorder="1" applyAlignment="1">
      <alignment vertical="center"/>
    </xf>
    <xf numFmtId="0" fontId="15" fillId="6" borderId="2" xfId="0" applyFont="1" applyFill="1" applyBorder="1" applyAlignment="1">
      <alignment vertical="center"/>
    </xf>
    <xf numFmtId="0" fontId="0" fillId="0" borderId="0" xfId="0" applyAlignment="1">
      <alignment vertical="center"/>
    </xf>
    <xf numFmtId="0" fontId="0" fillId="0" borderId="5" xfId="0" applyBorder="1" applyAlignment="1">
      <alignment vertical="center"/>
    </xf>
    <xf numFmtId="0" fontId="0" fillId="0" borderId="1" xfId="0" applyBorder="1" applyAlignment="1">
      <alignment vertical="center"/>
    </xf>
    <xf numFmtId="0" fontId="0" fillId="7" borderId="1" xfId="0" applyFill="1" applyBorder="1" applyAlignment="1">
      <alignment vertical="center"/>
    </xf>
    <xf numFmtId="0" fontId="15" fillId="8" borderId="4" xfId="0" applyFont="1" applyFill="1" applyBorder="1" applyAlignment="1">
      <alignment vertical="center"/>
    </xf>
    <xf numFmtId="0" fontId="15" fillId="8" borderId="2" xfId="0" applyFont="1" applyFill="1" applyBorder="1" applyAlignment="1">
      <alignment vertical="center"/>
    </xf>
    <xf numFmtId="0" fontId="21" fillId="0" borderId="0" xfId="0" applyFont="1"/>
    <xf numFmtId="0" fontId="23" fillId="7" borderId="13" xfId="3" applyFont="1" applyFill="1" applyBorder="1"/>
    <xf numFmtId="0" fontId="23" fillId="7" borderId="14" xfId="3" applyFont="1" applyFill="1" applyBorder="1"/>
    <xf numFmtId="0" fontId="23" fillId="7" borderId="15" xfId="3" applyFont="1" applyFill="1" applyBorder="1"/>
    <xf numFmtId="0" fontId="24" fillId="0" borderId="0" xfId="0" applyFont="1"/>
    <xf numFmtId="0" fontId="21" fillId="0" borderId="16" xfId="0" applyFont="1" applyBorder="1"/>
    <xf numFmtId="0" fontId="2" fillId="0" borderId="2" xfId="0" applyFont="1" applyBorder="1"/>
    <xf numFmtId="0" fontId="12" fillId="0" borderId="1" xfId="0" applyFont="1" applyBorder="1"/>
    <xf numFmtId="0" fontId="12" fillId="0" borderId="0" xfId="0" applyFont="1" applyBorder="1"/>
    <xf numFmtId="0" fontId="25" fillId="0" borderId="1" xfId="0" applyFont="1" applyBorder="1"/>
    <xf numFmtId="0" fontId="25" fillId="0" borderId="0" xfId="0" applyFont="1" applyBorder="1"/>
    <xf numFmtId="0" fontId="26" fillId="0" borderId="6" xfId="0" applyFont="1" applyBorder="1"/>
    <xf numFmtId="0" fontId="26" fillId="0" borderId="8" xfId="0" applyFont="1" applyBorder="1"/>
    <xf numFmtId="3" fontId="26" fillId="0" borderId="8" xfId="0" applyNumberFormat="1" applyFont="1" applyBorder="1"/>
    <xf numFmtId="0" fontId="25" fillId="0" borderId="5" xfId="0" applyFont="1" applyBorder="1"/>
    <xf numFmtId="0" fontId="26" fillId="0" borderId="7" xfId="0" applyFont="1" applyBorder="1"/>
    <xf numFmtId="0" fontId="20" fillId="9" borderId="16" xfId="3" applyFont="1" applyFill="1" applyBorder="1"/>
    <xf numFmtId="0" fontId="12" fillId="0" borderId="5" xfId="0" applyFont="1" applyBorder="1"/>
    <xf numFmtId="0" fontId="12" fillId="0" borderId="5" xfId="0" applyFont="1" applyFill="1" applyBorder="1"/>
    <xf numFmtId="0" fontId="12" fillId="0" borderId="7" xfId="0" applyFont="1" applyBorder="1"/>
    <xf numFmtId="0" fontId="3" fillId="0" borderId="0" xfId="0" applyFont="1"/>
    <xf numFmtId="0" fontId="0" fillId="6" borderId="4" xfId="0" applyFill="1" applyBorder="1"/>
    <xf numFmtId="0" fontId="27" fillId="6" borderId="2" xfId="0" applyFont="1" applyFill="1" applyBorder="1"/>
    <xf numFmtId="0" fontId="16" fillId="4" borderId="3" xfId="2" applyFont="1" applyFill="1" applyBorder="1"/>
    <xf numFmtId="0" fontId="14" fillId="4" borderId="0" xfId="2" applyFill="1" applyBorder="1"/>
    <xf numFmtId="0" fontId="28" fillId="0" borderId="1" xfId="0" applyFont="1" applyBorder="1"/>
    <xf numFmtId="3" fontId="28" fillId="4" borderId="0" xfId="2" applyNumberFormat="1" applyFont="1" applyFill="1" applyBorder="1" applyAlignment="1">
      <alignment horizontal="left"/>
    </xf>
    <xf numFmtId="0" fontId="28" fillId="0" borderId="5" xfId="0" applyFont="1" applyBorder="1"/>
    <xf numFmtId="0" fontId="28" fillId="0" borderId="6" xfId="0" applyFont="1" applyFill="1" applyBorder="1"/>
    <xf numFmtId="2" fontId="28" fillId="4" borderId="8" xfId="2" applyNumberFormat="1" applyFont="1" applyFill="1" applyBorder="1" applyAlignment="1">
      <alignment horizontal="left"/>
    </xf>
    <xf numFmtId="0" fontId="28" fillId="0" borderId="7" xfId="0" applyFont="1" applyBorder="1"/>
    <xf numFmtId="0" fontId="4" fillId="0" borderId="1" xfId="0" applyFont="1" applyBorder="1"/>
    <xf numFmtId="0" fontId="4" fillId="0" borderId="0" xfId="0" applyFont="1" applyBorder="1"/>
    <xf numFmtId="0" fontId="4" fillId="0" borderId="5" xfId="0" applyFont="1" applyFill="1" applyBorder="1"/>
    <xf numFmtId="0" fontId="4" fillId="0" borderId="6" xfId="0" applyFont="1" applyBorder="1"/>
    <xf numFmtId="3" fontId="4" fillId="0" borderId="8" xfId="0" applyNumberFormat="1" applyFont="1" applyBorder="1" applyAlignment="1">
      <alignment horizontal="left"/>
    </xf>
    <xf numFmtId="0" fontId="4" fillId="0" borderId="8" xfId="0" applyFont="1" applyBorder="1" applyAlignment="1">
      <alignment horizontal="left"/>
    </xf>
    <xf numFmtId="3" fontId="4" fillId="0" borderId="7" xfId="0" applyNumberFormat="1" applyFont="1" applyBorder="1" applyAlignment="1">
      <alignment horizontal="left"/>
    </xf>
    <xf numFmtId="0" fontId="7" fillId="0" borderId="0" xfId="0" applyFont="1" applyBorder="1" applyAlignment="1">
      <alignment horizontal="center"/>
    </xf>
    <xf numFmtId="1" fontId="7" fillId="0" borderId="0" xfId="0" applyNumberFormat="1" applyFont="1" applyBorder="1" applyAlignment="1">
      <alignment horizontal="center"/>
    </xf>
    <xf numFmtId="0" fontId="0" fillId="0" borderId="0" xfId="0" applyBorder="1" applyAlignment="1">
      <alignment horizontal="center"/>
    </xf>
    <xf numFmtId="0" fontId="16" fillId="4" borderId="0" xfId="2" applyFont="1" applyFill="1" applyBorder="1"/>
    <xf numFmtId="3" fontId="25" fillId="0" borderId="0" xfId="0" applyNumberFormat="1" applyFont="1" applyBorder="1" applyAlignment="1">
      <alignment horizontal="right"/>
    </xf>
    <xf numFmtId="1" fontId="7" fillId="4" borderId="0" xfId="2" applyNumberFormat="1" applyFont="1" applyFill="1" applyBorder="1" applyAlignment="1">
      <alignment horizontal="left"/>
    </xf>
    <xf numFmtId="0" fontId="7" fillId="4" borderId="0" xfId="2" applyFont="1" applyFill="1" applyBorder="1"/>
    <xf numFmtId="0" fontId="7" fillId="4" borderId="0" xfId="2" applyFont="1" applyFill="1" applyBorder="1" applyAlignment="1">
      <alignment horizontal="left"/>
    </xf>
    <xf numFmtId="2" fontId="7" fillId="4" borderId="0" xfId="2" applyNumberFormat="1" applyFont="1" applyFill="1" applyBorder="1" applyAlignment="1">
      <alignment horizontal="left"/>
    </xf>
    <xf numFmtId="0" fontId="25" fillId="0" borderId="6" xfId="0" applyFont="1" applyBorder="1"/>
    <xf numFmtId="3" fontId="25" fillId="0" borderId="8" xfId="0" applyNumberFormat="1" applyFont="1" applyBorder="1" applyAlignment="1">
      <alignment horizontal="right"/>
    </xf>
    <xf numFmtId="0" fontId="25" fillId="0" borderId="7" xfId="0" applyFont="1" applyBorder="1"/>
    <xf numFmtId="0" fontId="6" fillId="0" borderId="0" xfId="0" applyFont="1" applyBorder="1"/>
    <xf numFmtId="0" fontId="14" fillId="4" borderId="3" xfId="2" applyFill="1" applyBorder="1"/>
    <xf numFmtId="0" fontId="7" fillId="4" borderId="8" xfId="2" applyFont="1" applyFill="1" applyBorder="1"/>
    <xf numFmtId="0" fontId="30" fillId="4" borderId="1" xfId="0" applyFont="1" applyFill="1" applyBorder="1"/>
    <xf numFmtId="3" fontId="30" fillId="4" borderId="0" xfId="0" applyNumberFormat="1" applyFont="1" applyFill="1" applyBorder="1"/>
    <xf numFmtId="0" fontId="30" fillId="4" borderId="5" xfId="0" applyFont="1" applyFill="1" applyBorder="1"/>
    <xf numFmtId="0" fontId="26" fillId="4" borderId="1" xfId="0" applyFont="1" applyFill="1" applyBorder="1"/>
    <xf numFmtId="3" fontId="26" fillId="4" borderId="0" xfId="0" applyNumberFormat="1" applyFont="1" applyFill="1" applyBorder="1"/>
    <xf numFmtId="0" fontId="26" fillId="4" borderId="5" xfId="0" applyFont="1" applyFill="1" applyBorder="1"/>
    <xf numFmtId="0" fontId="26" fillId="4" borderId="6" xfId="0" applyFont="1" applyFill="1" applyBorder="1"/>
    <xf numFmtId="3" fontId="26" fillId="4" borderId="8" xfId="0" applyNumberFormat="1" applyFont="1" applyFill="1" applyBorder="1" applyAlignment="1">
      <alignment horizontal="right"/>
    </xf>
    <xf numFmtId="0" fontId="26" fillId="4" borderId="7" xfId="0" applyFont="1" applyFill="1" applyBorder="1"/>
    <xf numFmtId="165" fontId="26" fillId="4" borderId="8" xfId="0" applyNumberFormat="1" applyFont="1" applyFill="1" applyBorder="1"/>
    <xf numFmtId="0" fontId="31" fillId="0" borderId="0" xfId="0" applyFont="1" applyAlignment="1">
      <alignment wrapText="1"/>
    </xf>
    <xf numFmtId="0" fontId="32" fillId="0" borderId="0" xfId="0" applyFont="1" applyAlignment="1">
      <alignment vertical="center"/>
    </xf>
    <xf numFmtId="3" fontId="1" fillId="2" borderId="0" xfId="1" applyNumberFormat="1" applyBorder="1" applyAlignment="1" applyProtection="1">
      <alignment horizontal="left"/>
      <protection locked="0"/>
    </xf>
    <xf numFmtId="3" fontId="1" fillId="2" borderId="8" xfId="1" applyNumberFormat="1" applyBorder="1" applyAlignment="1" applyProtection="1">
      <alignment horizontal="left"/>
      <protection locked="0"/>
    </xf>
    <xf numFmtId="3" fontId="1" fillId="2" borderId="0" xfId="1" applyNumberFormat="1" applyBorder="1" applyAlignment="1" applyProtection="1">
      <alignment horizontal="right"/>
      <protection locked="0"/>
    </xf>
    <xf numFmtId="0" fontId="1" fillId="2" borderId="0" xfId="1" applyBorder="1" applyAlignment="1" applyProtection="1">
      <alignment horizontal="right"/>
      <protection locked="0"/>
    </xf>
    <xf numFmtId="3" fontId="1" fillId="2" borderId="8" xfId="1" applyNumberFormat="1" applyBorder="1" applyAlignment="1" applyProtection="1">
      <alignment horizontal="right"/>
      <protection locked="0"/>
    </xf>
    <xf numFmtId="0" fontId="1" fillId="2" borderId="0" xfId="1" applyBorder="1" applyAlignment="1" applyProtection="1">
      <alignment horizontal="left"/>
      <protection locked="0"/>
    </xf>
    <xf numFmtId="0" fontId="0" fillId="3" borderId="0" xfId="0" applyFill="1" applyBorder="1" applyProtection="1">
      <protection locked="0"/>
    </xf>
    <xf numFmtId="0" fontId="0" fillId="3" borderId="0" xfId="0" applyFill="1" applyBorder="1" applyAlignment="1" applyProtection="1">
      <alignment horizontal="left"/>
      <protection locked="0"/>
    </xf>
    <xf numFmtId="0" fontId="1" fillId="2" borderId="8" xfId="1" applyBorder="1" applyAlignment="1" applyProtection="1">
      <alignment horizontal="left"/>
      <protection locked="0"/>
    </xf>
    <xf numFmtId="0" fontId="0" fillId="3" borderId="1" xfId="0" applyFill="1" applyBorder="1" applyProtection="1">
      <protection locked="0"/>
    </xf>
    <xf numFmtId="3" fontId="0" fillId="3" borderId="0" xfId="0" applyNumberFormat="1" applyFill="1" applyBorder="1" applyAlignment="1" applyProtection="1">
      <alignment horizontal="left"/>
      <protection locked="0"/>
    </xf>
    <xf numFmtId="9" fontId="0" fillId="3" borderId="0" xfId="0" applyNumberFormat="1" applyFill="1" applyBorder="1" applyAlignment="1" applyProtection="1">
      <alignment horizontal="left"/>
      <protection locked="0"/>
    </xf>
    <xf numFmtId="3" fontId="0" fillId="3" borderId="5" xfId="0" applyNumberFormat="1" applyFill="1" applyBorder="1" applyAlignment="1" applyProtection="1">
      <alignment horizontal="left"/>
      <protection locked="0"/>
    </xf>
    <xf numFmtId="0" fontId="33" fillId="0" borderId="0" xfId="0" applyFont="1" applyBorder="1"/>
    <xf numFmtId="0" fontId="33" fillId="0" borderId="0" xfId="0" applyFont="1"/>
    <xf numFmtId="0" fontId="15" fillId="0" borderId="0" xfId="0" applyFont="1"/>
  </cellXfs>
  <cellStyles count="4">
    <cellStyle name="40% - Accent6" xfId="1" builtinId="51"/>
    <cellStyle name="Good" xfId="2" builtinId="26"/>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116840</xdr:rowOff>
    </xdr:from>
    <xdr:to>
      <xdr:col>2</xdr:col>
      <xdr:colOff>835660</xdr:colOff>
      <xdr:row>1</xdr:row>
      <xdr:rowOff>714375</xdr:rowOff>
    </xdr:to>
    <xdr:pic>
      <xdr:nvPicPr>
        <xdr:cNvPr id="5" name="Bild 8" descr="426_1_TNO_ifl_zwart.png">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66" t="17350" b="16717"/>
        <a:stretch/>
      </xdr:blipFill>
      <xdr:spPr bwMode="auto">
        <a:xfrm>
          <a:off x="342900" y="307340"/>
          <a:ext cx="2912110" cy="5975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838200</xdr:colOff>
      <xdr:row>1</xdr:row>
      <xdr:rowOff>116840</xdr:rowOff>
    </xdr:from>
    <xdr:to>
      <xdr:col>2</xdr:col>
      <xdr:colOff>3350895</xdr:colOff>
      <xdr:row>1</xdr:row>
      <xdr:rowOff>714375</xdr:rowOff>
    </xdr:to>
    <xdr:pic>
      <xdr:nvPicPr>
        <xdr:cNvPr id="6" name="Picture 5" descr="Beschrijving: Logo IVAM RGB lr">
          <a:extLst>
            <a:ext uri="{FF2B5EF4-FFF2-40B4-BE49-F238E27FC236}">
              <a16:creationId xmlns:a16="http://schemas.microsoft.com/office/drawing/2014/main" id="{00000000-0008-0000-0000-000006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7341" r="5203" b="15029"/>
        <a:stretch/>
      </xdr:blipFill>
      <xdr:spPr bwMode="auto">
        <a:xfrm>
          <a:off x="3257550" y="307340"/>
          <a:ext cx="2512695" cy="5975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8610600</xdr:colOff>
      <xdr:row>1</xdr:row>
      <xdr:rowOff>0</xdr:rowOff>
    </xdr:from>
    <xdr:to>
      <xdr:col>2</xdr:col>
      <xdr:colOff>10942955</xdr:colOff>
      <xdr:row>1</xdr:row>
      <xdr:rowOff>831215</xdr:rowOff>
    </xdr:to>
    <xdr:pic>
      <xdr:nvPicPr>
        <xdr:cNvPr id="7" name="Picture 6" descr="http://www.slibgisting.nl/wp-content/uploads/2015/01/Topsector-energie.jpg">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1029950" y="190500"/>
          <a:ext cx="2332355" cy="831215"/>
        </a:xfrm>
        <a:prstGeom prst="rect">
          <a:avLst/>
        </a:prstGeom>
        <a:noFill/>
        <a:ln>
          <a:noFill/>
        </a:ln>
      </xdr:spPr>
    </xdr:pic>
    <xdr:clientData/>
  </xdr:twoCellAnchor>
  <xdr:twoCellAnchor>
    <xdr:from>
      <xdr:col>1</xdr:col>
      <xdr:colOff>1285875</xdr:colOff>
      <xdr:row>37</xdr:row>
      <xdr:rowOff>104775</xdr:rowOff>
    </xdr:from>
    <xdr:to>
      <xdr:col>2</xdr:col>
      <xdr:colOff>1638300</xdr:colOff>
      <xdr:row>40</xdr:row>
      <xdr:rowOff>133350</xdr:rowOff>
    </xdr:to>
    <xdr:pic>
      <xdr:nvPicPr>
        <xdr:cNvPr id="8" name="Picture 7" descr="uwlogo">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b="21387"/>
        <a:stretch>
          <a:fillRect/>
        </a:stretch>
      </xdr:blipFill>
      <xdr:spPr bwMode="auto">
        <a:xfrm>
          <a:off x="1628775" y="9134475"/>
          <a:ext cx="2428875"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4600575</xdr:colOff>
      <xdr:row>37</xdr:row>
      <xdr:rowOff>152400</xdr:rowOff>
    </xdr:from>
    <xdr:to>
      <xdr:col>2</xdr:col>
      <xdr:colOff>6600825</xdr:colOff>
      <xdr:row>40</xdr:row>
      <xdr:rowOff>180975</xdr:rowOff>
    </xdr:to>
    <xdr:pic>
      <xdr:nvPicPr>
        <xdr:cNvPr id="9" name="Picture 5" descr="MRM voor werken en wonen x90">
          <a:extLst>
            <a:ext uri="{FF2B5EF4-FFF2-40B4-BE49-F238E27FC236}">
              <a16:creationId xmlns:a16="http://schemas.microsoft.com/office/drawing/2014/main" id="{00000000-0008-0000-0000-000009000000}"/>
            </a:ext>
          </a:extLst>
        </xdr:cNvPr>
        <xdr:cNvPicPr>
          <a:picLocks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019925" y="9182100"/>
          <a:ext cx="20002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2219324</xdr:colOff>
      <xdr:row>37</xdr:row>
      <xdr:rowOff>28575</xdr:rowOff>
    </xdr:from>
    <xdr:to>
      <xdr:col>2</xdr:col>
      <xdr:colOff>4114799</xdr:colOff>
      <xdr:row>41</xdr:row>
      <xdr:rowOff>190012</xdr:rowOff>
    </xdr:to>
    <xdr:pic>
      <xdr:nvPicPr>
        <xdr:cNvPr id="10" name="Picture 9" descr="Logo ECWF Energie">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638674" y="9058275"/>
          <a:ext cx="1895475" cy="923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7096124</xdr:colOff>
      <xdr:row>38</xdr:row>
      <xdr:rowOff>9526</xdr:rowOff>
    </xdr:from>
    <xdr:to>
      <xdr:col>2</xdr:col>
      <xdr:colOff>8686799</xdr:colOff>
      <xdr:row>41</xdr:row>
      <xdr:rowOff>89526</xdr:rowOff>
    </xdr:to>
    <xdr:pic>
      <xdr:nvPicPr>
        <xdr:cNvPr id="11" name="Picture 17">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9515474" y="9229726"/>
          <a:ext cx="1590675" cy="65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43</xdr:row>
      <xdr:rowOff>0</xdr:rowOff>
    </xdr:from>
    <xdr:to>
      <xdr:col>2</xdr:col>
      <xdr:colOff>3771900</xdr:colOff>
      <xdr:row>51</xdr:row>
      <xdr:rowOff>36830</xdr:rowOff>
    </xdr:to>
    <xdr:sp macro="" textlink="">
      <xdr:nvSpPr>
        <xdr:cNvPr id="12" name="Text Box 307">
          <a:extLst>
            <a:ext uri="{FF2B5EF4-FFF2-40B4-BE49-F238E27FC236}">
              <a16:creationId xmlns:a16="http://schemas.microsoft.com/office/drawing/2014/main" id="{00000000-0008-0000-0000-00000C000000}"/>
            </a:ext>
          </a:extLst>
        </xdr:cNvPr>
        <xdr:cNvSpPr txBox="1">
          <a:spLocks noChangeArrowheads="1"/>
        </xdr:cNvSpPr>
      </xdr:nvSpPr>
      <xdr:spPr bwMode="auto">
        <a:xfrm>
          <a:off x="342900" y="12011025"/>
          <a:ext cx="5848350" cy="156083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spcAft>
              <a:spcPts val="0"/>
            </a:spcAft>
          </a:pPr>
          <a:r>
            <a:rPr lang="nl-NL" sz="1000" i="1">
              <a:solidFill>
                <a:srgbClr val="000000"/>
              </a:solidFill>
              <a:effectLst/>
              <a:latin typeface="Minion Pro Disp"/>
              <a:ea typeface="Calibri"/>
              <a:cs typeface="Times New Roman"/>
            </a:rPr>
            <a:t>© 2016 TNO, Den Haag (compilatie). Alle rechten voorbehouden. Delen van dit document zijn door derden verzorgd en worden door TNO onder licentie hergebruikt. </a:t>
          </a:r>
          <a:r>
            <a:rPr lang="nl-NL" sz="1000" i="1">
              <a:effectLst/>
              <a:latin typeface="Minion Pro Disp"/>
              <a:ea typeface="Calibri"/>
              <a:cs typeface="Times New Roman"/>
            </a:rPr>
            <a:t>Niets uit deze uitgave mag worden verveelvoudigd, opgeslagen in een geautomatiseerd gegevensbestand of openbaar gemaakt worden in enige vorm of op enige wijze, hetzij elektronisch, mechanisch of door fotokopieën, opname, of op enige andere manier, zonder voorafgaande schriftelijke toestemming van de uitgever. </a:t>
          </a:r>
          <a:r>
            <a:rPr lang="nl-NL" sz="1000" i="1">
              <a:solidFill>
                <a:srgbClr val="000000"/>
              </a:solidFill>
              <a:effectLst/>
              <a:latin typeface="Minion Pro Disp"/>
              <a:ea typeface="Calibri"/>
              <a:cs typeface="Times New Roman"/>
            </a:rPr>
            <a:t>Hoewel dit document met de grootste zorg is samengesteld kunnen onjuistheden of omissies niet geheel worden uitgesloten. TNO aanvaardt derhalve geen aansprakelijkheid voor schade die eventueel mocht voortvloeien uit uw gebruik van dit document. </a:t>
          </a:r>
          <a:endParaRPr lang="nl-NL" sz="1200">
            <a:effectLst/>
            <a:latin typeface="Minion Pro Disp"/>
            <a:ea typeface="Calibri"/>
            <a:cs typeface="Times New Roman"/>
          </a:endParaRPr>
        </a:p>
        <a:p>
          <a:pPr>
            <a:spcAft>
              <a:spcPts val="0"/>
            </a:spcAft>
          </a:pPr>
          <a:r>
            <a:rPr lang="nl-NL" sz="1000" i="1">
              <a:solidFill>
                <a:srgbClr val="000000"/>
              </a:solidFill>
              <a:effectLst/>
              <a:latin typeface="Minion Pro Disp"/>
              <a:ea typeface="Calibri"/>
              <a:cs typeface="Times New Roman"/>
            </a:rPr>
            <a:t>Volledigheidshalve maken wij u erop attent dat bij verwijzingen in andere publicaties naar TNO als auteur van dit document geen gebruik mag worden gemaakt van het TNO logo.</a:t>
          </a:r>
          <a:endParaRPr lang="nl-NL" sz="1200">
            <a:effectLst/>
            <a:latin typeface="Minion Pro Disp"/>
            <a:ea typeface="Calibri"/>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onenkampnej\AppData\Local\Microsoft\Windows\INetCache\Content.Outlook\TGCAVFK0\BC%20-%20L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tartpagina"/>
      <sheetName val="1. Gegevens PM en Leverancier"/>
      <sheetName val="2. BC Bedrijf"/>
      <sheetName val="3. Bedrijvenoverzicht"/>
      <sheetName val="4. BC Leverancier"/>
      <sheetName val="5. BC Parkmanager"/>
    </sheetNames>
    <sheetDataSet>
      <sheetData sheetId="0"/>
      <sheetData sheetId="1">
        <row r="16">
          <cell r="C16">
            <v>35</v>
          </cell>
        </row>
        <row r="17">
          <cell r="C17">
            <v>10</v>
          </cell>
        </row>
        <row r="24">
          <cell r="C24">
            <v>5</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B2:C41"/>
  <sheetViews>
    <sheetView showGridLines="0" topLeftCell="A16" workbookViewId="0">
      <selection activeCell="B8" sqref="B8"/>
    </sheetView>
  </sheetViews>
  <sheetFormatPr defaultRowHeight="15" x14ac:dyDescent="0.25"/>
  <cols>
    <col min="1" max="1" width="5.140625" style="59" customWidth="1"/>
    <col min="2" max="2" width="31.140625" style="59" customWidth="1"/>
    <col min="3" max="3" width="166.7109375" style="59" customWidth="1"/>
    <col min="4" max="16384" width="9.140625" style="59"/>
  </cols>
  <sheetData>
    <row r="2" spans="2:3" ht="68.25" customHeight="1" x14ac:dyDescent="0.25"/>
    <row r="3" spans="2:3" ht="15.75" customHeight="1" x14ac:dyDescent="0.25">
      <c r="C3" s="180" t="s">
        <v>165</v>
      </c>
    </row>
    <row r="4" spans="2:3" ht="15.75" customHeight="1" x14ac:dyDescent="0.25">
      <c r="C4" s="180" t="s">
        <v>161</v>
      </c>
    </row>
    <row r="5" spans="2:3" ht="15.75" customHeight="1" x14ac:dyDescent="0.25">
      <c r="C5" s="180" t="s">
        <v>162</v>
      </c>
    </row>
    <row r="6" spans="2:3" ht="15.75" customHeight="1" x14ac:dyDescent="0.25">
      <c r="C6" s="59" t="s">
        <v>163</v>
      </c>
    </row>
    <row r="7" spans="2:3" ht="15.75" thickBot="1" x14ac:dyDescent="0.3"/>
    <row r="8" spans="2:3" s="121" customFormat="1" ht="32.25" thickBot="1" x14ac:dyDescent="0.55000000000000004">
      <c r="B8" s="122" t="s">
        <v>141</v>
      </c>
    </row>
    <row r="9" spans="2:3" ht="31.5" x14ac:dyDescent="0.5">
      <c r="C9" s="120" t="s">
        <v>140</v>
      </c>
    </row>
    <row r="10" spans="2:3" ht="31.5" x14ac:dyDescent="0.5">
      <c r="C10" s="119" t="s">
        <v>139</v>
      </c>
    </row>
    <row r="11" spans="2:3" ht="31.5" x14ac:dyDescent="0.5">
      <c r="C11" s="119" t="s">
        <v>138</v>
      </c>
    </row>
    <row r="12" spans="2:3" ht="31.5" x14ac:dyDescent="0.5">
      <c r="C12" s="119" t="s">
        <v>137</v>
      </c>
    </row>
    <row r="13" spans="2:3" ht="32.25" thickBot="1" x14ac:dyDescent="0.55000000000000004">
      <c r="C13" s="118" t="s">
        <v>136</v>
      </c>
    </row>
    <row r="14" spans="2:3" ht="51.75" customHeight="1" x14ac:dyDescent="0.25"/>
    <row r="15" spans="2:3" ht="31.5" x14ac:dyDescent="0.5">
      <c r="B15" s="117" t="s">
        <v>135</v>
      </c>
    </row>
    <row r="16" spans="2:3" ht="15.75" thickBot="1" x14ac:dyDescent="0.3"/>
    <row r="17" spans="2:3" x14ac:dyDescent="0.25">
      <c r="B17" s="116" t="s">
        <v>134</v>
      </c>
      <c r="C17" s="115"/>
    </row>
    <row r="18" spans="2:3" x14ac:dyDescent="0.25">
      <c r="B18" s="114" t="s">
        <v>133</v>
      </c>
      <c r="C18" s="112" t="s">
        <v>132</v>
      </c>
    </row>
    <row r="19" spans="2:3" x14ac:dyDescent="0.25">
      <c r="B19" s="113" t="s">
        <v>131</v>
      </c>
      <c r="C19" s="67" t="s">
        <v>130</v>
      </c>
    </row>
    <row r="20" spans="2:3" x14ac:dyDescent="0.25">
      <c r="B20" s="113" t="s">
        <v>129</v>
      </c>
      <c r="C20" s="112" t="s">
        <v>128</v>
      </c>
    </row>
    <row r="21" spans="2:3" x14ac:dyDescent="0.25">
      <c r="B21" s="113" t="s">
        <v>127</v>
      </c>
      <c r="C21" s="112" t="s">
        <v>159</v>
      </c>
    </row>
    <row r="22" spans="2:3" ht="15.75" thickBot="1" x14ac:dyDescent="0.3">
      <c r="B22" s="103" t="s">
        <v>126</v>
      </c>
      <c r="C22" s="102" t="s">
        <v>125</v>
      </c>
    </row>
    <row r="23" spans="2:3" ht="18.75" customHeight="1" thickBot="1" x14ac:dyDescent="0.3">
      <c r="B23" s="111"/>
      <c r="C23" s="111"/>
    </row>
    <row r="24" spans="2:3" x14ac:dyDescent="0.25">
      <c r="B24" s="110" t="s">
        <v>124</v>
      </c>
      <c r="C24" s="109"/>
    </row>
    <row r="25" spans="2:3" ht="45" x14ac:dyDescent="0.25">
      <c r="B25" s="108" t="s">
        <v>123</v>
      </c>
      <c r="C25" s="107" t="s">
        <v>122</v>
      </c>
    </row>
    <row r="26" spans="2:3" ht="21" customHeight="1" x14ac:dyDescent="0.25">
      <c r="B26" s="105" t="s">
        <v>121</v>
      </c>
      <c r="C26" s="104" t="s">
        <v>120</v>
      </c>
    </row>
    <row r="27" spans="2:3" ht="45" x14ac:dyDescent="0.25">
      <c r="B27" s="105" t="s">
        <v>119</v>
      </c>
      <c r="C27" s="106" t="s">
        <v>118</v>
      </c>
    </row>
    <row r="28" spans="2:3" x14ac:dyDescent="0.25">
      <c r="B28" s="105" t="s">
        <v>117</v>
      </c>
      <c r="C28" s="104" t="s">
        <v>116</v>
      </c>
    </row>
    <row r="29" spans="2:3" ht="15.75" thickBot="1" x14ac:dyDescent="0.3">
      <c r="B29" s="103" t="s">
        <v>115</v>
      </c>
      <c r="C29" s="102" t="s">
        <v>114</v>
      </c>
    </row>
    <row r="32" spans="2:3" ht="15.75" thickBot="1" x14ac:dyDescent="0.3"/>
    <row r="33" spans="2:3" ht="31.5" x14ac:dyDescent="0.5">
      <c r="B33" s="139" t="s">
        <v>145</v>
      </c>
      <c r="C33" s="138"/>
    </row>
    <row r="34" spans="2:3" ht="15.75" thickBot="1" x14ac:dyDescent="0.3">
      <c r="B34" s="62" t="s">
        <v>146</v>
      </c>
      <c r="C34" s="68"/>
    </row>
    <row r="37" spans="2:3" x14ac:dyDescent="0.25">
      <c r="B37" s="137" t="s">
        <v>164</v>
      </c>
    </row>
    <row r="39" spans="2:3" x14ac:dyDescent="0.25">
      <c r="B39" s="181"/>
    </row>
    <row r="41" spans="2:3" x14ac:dyDescent="0.25">
      <c r="B41" s="181"/>
    </row>
  </sheetData>
  <sheetProtection password="EA5E" sheet="1" objects="1" scenarios="1"/>
  <hyperlinks>
    <hyperlink ref="C9" location="'1. Gegevens PM en Leverancier'!A1" display="Gegevens: Parkmanager en Leverancier" xr:uid="{00000000-0004-0000-0000-000000000000}"/>
    <hyperlink ref="C10" location="'2. BC Bedrijf'!A1" display="Business case: Bedrijf" xr:uid="{00000000-0004-0000-0000-000001000000}"/>
    <hyperlink ref="C11" location="'3. Bedrijvenoverzicht'!A1" display="Bedrijvenoverzicht" xr:uid="{00000000-0004-0000-0000-000002000000}"/>
    <hyperlink ref="C12" location="'4. BC Leverancier'!A1" display="Business Case: Leverancier" xr:uid="{00000000-0004-0000-0000-000003000000}"/>
    <hyperlink ref="C13" location="'5. BC Parkmanager'!A1" display="Business Case: Parkmanager" xr:uid="{00000000-0004-0000-0000-000004000000}"/>
  </hyperlink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B1:K35"/>
  <sheetViews>
    <sheetView showGridLines="0" topLeftCell="A13" workbookViewId="0">
      <selection activeCell="D27" sqref="D27"/>
    </sheetView>
  </sheetViews>
  <sheetFormatPr defaultRowHeight="15" x14ac:dyDescent="0.25"/>
  <cols>
    <col min="1" max="1" width="4.5703125" customWidth="1"/>
    <col min="2" max="2" width="39.42578125" customWidth="1"/>
    <col min="4" max="4" width="19.28515625" bestFit="1" customWidth="1"/>
    <col min="6" max="6" width="28.140625" customWidth="1"/>
  </cols>
  <sheetData>
    <row r="1" spans="2:6" ht="15.75" thickBot="1" x14ac:dyDescent="0.3"/>
    <row r="2" spans="2:6" ht="15.75" thickBot="1" x14ac:dyDescent="0.3">
      <c r="B2" s="36" t="s">
        <v>142</v>
      </c>
      <c r="C2" s="88"/>
      <c r="D2" s="13"/>
      <c r="F2" s="133" t="s">
        <v>144</v>
      </c>
    </row>
    <row r="3" spans="2:6" x14ac:dyDescent="0.25">
      <c r="B3" s="17"/>
      <c r="C3" s="94"/>
      <c r="D3" s="67"/>
    </row>
    <row r="4" spans="2:6" x14ac:dyDescent="0.25">
      <c r="B4" s="14" t="s">
        <v>11</v>
      </c>
      <c r="C4" s="182">
        <v>75</v>
      </c>
      <c r="D4" s="18" t="s">
        <v>26</v>
      </c>
    </row>
    <row r="5" spans="2:6" x14ac:dyDescent="0.25">
      <c r="B5" s="14" t="s">
        <v>12</v>
      </c>
      <c r="C5" s="182">
        <v>4</v>
      </c>
      <c r="D5" s="18" t="s">
        <v>22</v>
      </c>
    </row>
    <row r="6" spans="2:6" x14ac:dyDescent="0.25">
      <c r="B6" s="14" t="s">
        <v>13</v>
      </c>
      <c r="C6" s="182">
        <v>4</v>
      </c>
      <c r="D6" s="18" t="s">
        <v>22</v>
      </c>
    </row>
    <row r="7" spans="2:6" x14ac:dyDescent="0.25">
      <c r="B7" s="14" t="s">
        <v>14</v>
      </c>
      <c r="C7" s="182">
        <v>2</v>
      </c>
      <c r="D7" s="18" t="s">
        <v>27</v>
      </c>
    </row>
    <row r="8" spans="2:6" x14ac:dyDescent="0.25">
      <c r="B8" s="14" t="s">
        <v>15</v>
      </c>
      <c r="C8" s="182">
        <v>4</v>
      </c>
      <c r="D8" s="18" t="s">
        <v>27</v>
      </c>
    </row>
    <row r="9" spans="2:6" x14ac:dyDescent="0.25">
      <c r="B9" s="78" t="s">
        <v>110</v>
      </c>
      <c r="C9" s="182">
        <v>8</v>
      </c>
      <c r="D9" s="80" t="s">
        <v>22</v>
      </c>
    </row>
    <row r="10" spans="2:6" s="59" customFormat="1" x14ac:dyDescent="0.25">
      <c r="B10" s="14" t="s">
        <v>112</v>
      </c>
      <c r="C10" s="182">
        <v>15</v>
      </c>
      <c r="D10" s="18" t="s">
        <v>29</v>
      </c>
    </row>
    <row r="11" spans="2:6" x14ac:dyDescent="0.25">
      <c r="B11" s="14" t="s">
        <v>4</v>
      </c>
      <c r="C11" s="182">
        <v>400</v>
      </c>
      <c r="D11" s="18" t="s">
        <v>26</v>
      </c>
    </row>
    <row r="12" spans="2:6" ht="15.75" thickBot="1" x14ac:dyDescent="0.3">
      <c r="B12" s="16" t="s">
        <v>76</v>
      </c>
      <c r="C12" s="183">
        <v>0</v>
      </c>
      <c r="D12" s="22" t="s">
        <v>26</v>
      </c>
    </row>
    <row r="13" spans="2:6" ht="15.75" thickBot="1" x14ac:dyDescent="0.3"/>
    <row r="14" spans="2:6" x14ac:dyDescent="0.25">
      <c r="B14" s="36" t="s">
        <v>143</v>
      </c>
      <c r="C14" s="11"/>
      <c r="D14" s="24"/>
    </row>
    <row r="15" spans="2:6" x14ac:dyDescent="0.25">
      <c r="B15" s="17"/>
      <c r="C15" s="25"/>
      <c r="D15" s="18"/>
    </row>
    <row r="16" spans="2:6" x14ac:dyDescent="0.25">
      <c r="B16" s="23" t="s">
        <v>61</v>
      </c>
      <c r="C16" s="25"/>
      <c r="D16" s="18"/>
    </row>
    <row r="17" spans="2:11" x14ac:dyDescent="0.25">
      <c r="B17" s="14" t="s">
        <v>65</v>
      </c>
      <c r="C17" s="184">
        <v>250</v>
      </c>
      <c r="D17" s="18" t="s">
        <v>66</v>
      </c>
    </row>
    <row r="18" spans="2:11" x14ac:dyDescent="0.25">
      <c r="B18" s="14" t="s">
        <v>62</v>
      </c>
      <c r="C18" s="89">
        <f>1.1*$C$17</f>
        <v>275</v>
      </c>
      <c r="D18" s="18" t="s">
        <v>28</v>
      </c>
    </row>
    <row r="19" spans="2:11" x14ac:dyDescent="0.25">
      <c r="B19" s="14" t="s">
        <v>113</v>
      </c>
      <c r="C19" s="89">
        <f>$C$17</f>
        <v>250</v>
      </c>
      <c r="D19" s="18" t="s">
        <v>26</v>
      </c>
    </row>
    <row r="20" spans="2:11" x14ac:dyDescent="0.25">
      <c r="B20" s="14" t="s">
        <v>67</v>
      </c>
      <c r="C20" s="89">
        <f>0.925*$C$17</f>
        <v>231.25</v>
      </c>
      <c r="D20" s="18" t="s">
        <v>68</v>
      </c>
    </row>
    <row r="21" spans="2:11" x14ac:dyDescent="0.25">
      <c r="B21" s="14"/>
      <c r="C21" s="89"/>
      <c r="D21" s="18"/>
    </row>
    <row r="22" spans="2:11" x14ac:dyDescent="0.25">
      <c r="B22" s="23" t="s">
        <v>58</v>
      </c>
      <c r="C22" s="90"/>
      <c r="D22" s="18"/>
    </row>
    <row r="23" spans="2:11" x14ac:dyDescent="0.25">
      <c r="B23" s="14" t="s">
        <v>17</v>
      </c>
      <c r="C23" s="184">
        <v>2500</v>
      </c>
      <c r="D23" s="18" t="s">
        <v>28</v>
      </c>
    </row>
    <row r="24" spans="2:11" x14ac:dyDescent="0.25">
      <c r="B24" s="14" t="s">
        <v>21</v>
      </c>
      <c r="C24" s="185">
        <v>5</v>
      </c>
      <c r="D24" s="18" t="s">
        <v>24</v>
      </c>
    </row>
    <row r="25" spans="2:11" x14ac:dyDescent="0.25">
      <c r="B25" s="14" t="s">
        <v>19</v>
      </c>
      <c r="C25" s="185">
        <v>10</v>
      </c>
      <c r="D25" s="18" t="s">
        <v>24</v>
      </c>
    </row>
    <row r="26" spans="2:11" x14ac:dyDescent="0.25">
      <c r="B26" s="19" t="s">
        <v>44</v>
      </c>
      <c r="C26" s="185">
        <v>5</v>
      </c>
      <c r="D26" s="18" t="s">
        <v>22</v>
      </c>
    </row>
    <row r="27" spans="2:11" ht="15.75" thickBot="1" x14ac:dyDescent="0.3">
      <c r="B27" s="20" t="s">
        <v>45</v>
      </c>
      <c r="C27" s="186">
        <v>75</v>
      </c>
      <c r="D27" s="21" t="s">
        <v>28</v>
      </c>
      <c r="E27" s="59"/>
      <c r="F27" s="59"/>
      <c r="G27" s="59"/>
      <c r="H27" s="59"/>
      <c r="I27" s="59"/>
      <c r="J27" s="59"/>
      <c r="K27" s="59"/>
    </row>
    <row r="28" spans="2:11" ht="15.75" thickBot="1" x14ac:dyDescent="0.3"/>
    <row r="29" spans="2:11" x14ac:dyDescent="0.25">
      <c r="B29" s="123" t="s">
        <v>106</v>
      </c>
      <c r="C29" s="73"/>
      <c r="D29" s="73"/>
      <c r="E29" s="73"/>
      <c r="F29" s="73"/>
      <c r="G29" s="74"/>
      <c r="H29" s="77"/>
      <c r="I29" s="77"/>
      <c r="J29" s="77"/>
      <c r="K29" s="77"/>
    </row>
    <row r="30" spans="2:11" x14ac:dyDescent="0.25">
      <c r="B30" s="78"/>
      <c r="C30" s="79"/>
      <c r="D30" s="79"/>
      <c r="E30" s="79"/>
      <c r="F30" s="79"/>
      <c r="G30" s="67"/>
      <c r="H30" s="79"/>
      <c r="I30" s="79"/>
      <c r="J30" s="79"/>
      <c r="K30" s="79"/>
    </row>
    <row r="31" spans="2:11" x14ac:dyDescent="0.25">
      <c r="B31" s="124" t="s">
        <v>107</v>
      </c>
      <c r="C31" s="125"/>
      <c r="D31" s="125"/>
      <c r="E31" s="125"/>
      <c r="F31" s="125"/>
      <c r="G31" s="76"/>
      <c r="H31" s="75"/>
      <c r="I31" s="75"/>
      <c r="J31" s="75"/>
      <c r="K31" s="75"/>
    </row>
    <row r="32" spans="2:11" x14ac:dyDescent="0.25">
      <c r="B32" s="124" t="s">
        <v>108</v>
      </c>
      <c r="C32" s="125"/>
      <c r="D32" s="125"/>
      <c r="E32" s="125"/>
      <c r="F32" s="125"/>
      <c r="G32" s="76"/>
      <c r="H32" s="75"/>
      <c r="I32" s="75"/>
      <c r="J32" s="75"/>
      <c r="K32" s="75"/>
    </row>
    <row r="33" spans="2:11" x14ac:dyDescent="0.25">
      <c r="B33" s="78"/>
      <c r="C33" s="79"/>
      <c r="D33" s="79"/>
      <c r="E33" s="79"/>
      <c r="F33" s="79"/>
      <c r="G33" s="67"/>
      <c r="H33" s="79"/>
      <c r="I33" s="79"/>
      <c r="J33" s="79"/>
      <c r="K33" s="79"/>
    </row>
    <row r="34" spans="2:11" x14ac:dyDescent="0.25">
      <c r="B34" s="126" t="s">
        <v>19</v>
      </c>
      <c r="C34" s="127"/>
      <c r="D34" s="127"/>
      <c r="E34" s="127"/>
      <c r="F34" s="127">
        <f>'1. Gegevens PM en Leverancier'!C25</f>
        <v>10</v>
      </c>
      <c r="G34" s="131" t="s">
        <v>24</v>
      </c>
      <c r="H34" s="79"/>
      <c r="I34" s="79"/>
      <c r="J34" s="79"/>
      <c r="K34" s="79"/>
    </row>
    <row r="35" spans="2:11" ht="15.75" thickBot="1" x14ac:dyDescent="0.3">
      <c r="B35" s="128" t="s">
        <v>109</v>
      </c>
      <c r="C35" s="129"/>
      <c r="D35" s="129"/>
      <c r="E35" s="129"/>
      <c r="F35" s="130">
        <f>(100*(C23+C26*C27))/(C25-C24)</f>
        <v>57500</v>
      </c>
      <c r="G35" s="132" t="s">
        <v>28</v>
      </c>
      <c r="H35" s="79"/>
      <c r="I35" s="79"/>
      <c r="J35" s="79"/>
      <c r="K35" s="79"/>
    </row>
  </sheetData>
  <sheetProtection password="EA5E" sheet="1" objects="1" scenarios="1"/>
  <hyperlinks>
    <hyperlink ref="F2" location="'0. Startpagina'!A1" display="Ga naar de STARTPAGINA" xr:uid="{00000000-0004-0000-0100-000000000000}"/>
  </hyperlink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N49"/>
  <sheetViews>
    <sheetView showGridLines="0" tabSelected="1" workbookViewId="0">
      <selection activeCell="F35" sqref="F35"/>
    </sheetView>
  </sheetViews>
  <sheetFormatPr defaultRowHeight="15" x14ac:dyDescent="0.25"/>
  <cols>
    <col min="1" max="1" width="5.7109375" customWidth="1"/>
    <col min="2" max="2" width="43.140625" customWidth="1"/>
    <col min="3" max="3" width="14.7109375" customWidth="1"/>
    <col min="4" max="4" width="16.85546875" customWidth="1"/>
    <col min="5" max="5" width="6" customWidth="1"/>
    <col min="6" max="6" width="26.140625" customWidth="1"/>
    <col min="7" max="7" width="17.5703125" customWidth="1"/>
  </cols>
  <sheetData>
    <row r="1" spans="1:14" ht="15.75" thickBot="1" x14ac:dyDescent="0.3">
      <c r="A1" s="15"/>
      <c r="B1" s="15"/>
      <c r="C1" s="15"/>
      <c r="D1" s="15"/>
      <c r="E1" s="15"/>
      <c r="F1" s="197"/>
      <c r="G1" s="27"/>
    </row>
    <row r="2" spans="1:14" ht="15.75" thickBot="1" x14ac:dyDescent="0.3">
      <c r="A2" s="15"/>
      <c r="B2" s="36" t="s">
        <v>77</v>
      </c>
      <c r="C2" s="28"/>
      <c r="D2" s="29"/>
      <c r="E2" s="15"/>
      <c r="F2" s="133" t="s">
        <v>144</v>
      </c>
      <c r="G2" s="196"/>
    </row>
    <row r="3" spans="1:14" x14ac:dyDescent="0.25">
      <c r="A3" s="15"/>
      <c r="B3" s="33"/>
      <c r="C3" s="31"/>
      <c r="D3" s="32"/>
      <c r="E3" s="15"/>
      <c r="F3" s="55" t="s">
        <v>85</v>
      </c>
      <c r="G3" s="196"/>
    </row>
    <row r="4" spans="1:14" x14ac:dyDescent="0.25">
      <c r="A4" s="15"/>
      <c r="B4" s="38" t="s">
        <v>78</v>
      </c>
      <c r="C4" s="31"/>
      <c r="D4" s="35"/>
      <c r="E4" s="195"/>
      <c r="F4" s="55"/>
      <c r="G4" s="196"/>
      <c r="H4" s="196"/>
      <c r="I4" s="196"/>
      <c r="J4" s="196"/>
      <c r="K4" s="196"/>
      <c r="L4" s="196"/>
      <c r="M4" s="196"/>
      <c r="N4" s="196"/>
    </row>
    <row r="5" spans="1:14" x14ac:dyDescent="0.25">
      <c r="A5" s="15"/>
      <c r="B5" s="30" t="s">
        <v>59</v>
      </c>
      <c r="C5" s="187">
        <v>20</v>
      </c>
      <c r="D5" s="134" t="s">
        <v>29</v>
      </c>
      <c r="E5" s="195"/>
      <c r="F5" s="95" t="s">
        <v>166</v>
      </c>
      <c r="G5" s="196"/>
      <c r="H5" s="196"/>
      <c r="I5" s="196"/>
      <c r="J5" s="196"/>
      <c r="K5" s="196"/>
      <c r="L5" s="196"/>
      <c r="M5" s="196"/>
      <c r="N5" s="196"/>
    </row>
    <row r="6" spans="1:14" x14ac:dyDescent="0.25">
      <c r="A6" s="15"/>
      <c r="B6" s="30" t="s">
        <v>16</v>
      </c>
      <c r="C6" s="187">
        <v>0.12</v>
      </c>
      <c r="D6" s="134" t="s">
        <v>28</v>
      </c>
      <c r="E6" s="195"/>
      <c r="F6" s="96" t="s">
        <v>167</v>
      </c>
      <c r="G6" s="196"/>
      <c r="H6" s="196"/>
      <c r="I6" s="196"/>
      <c r="J6" s="196"/>
      <c r="K6" s="196"/>
      <c r="L6" s="196"/>
      <c r="M6" s="196"/>
      <c r="N6" s="196"/>
    </row>
    <row r="7" spans="1:14" x14ac:dyDescent="0.25">
      <c r="A7" s="15"/>
      <c r="B7" s="30" t="s">
        <v>60</v>
      </c>
      <c r="C7" s="187">
        <v>5000</v>
      </c>
      <c r="D7" s="134" t="s">
        <v>23</v>
      </c>
      <c r="E7" s="195"/>
      <c r="F7" s="96" t="s">
        <v>168</v>
      </c>
      <c r="G7" s="196"/>
      <c r="H7" s="196"/>
      <c r="I7" s="196"/>
      <c r="J7" s="196"/>
      <c r="K7" s="196"/>
      <c r="L7" s="196"/>
      <c r="M7" s="196"/>
      <c r="N7" s="196"/>
    </row>
    <row r="8" spans="1:14" s="40" customFormat="1" x14ac:dyDescent="0.25">
      <c r="A8" s="42"/>
      <c r="B8" s="41" t="s">
        <v>90</v>
      </c>
      <c r="C8" s="187">
        <v>0.04</v>
      </c>
      <c r="D8" s="134" t="s">
        <v>147</v>
      </c>
      <c r="E8" s="195"/>
      <c r="F8" s="96" t="s">
        <v>169</v>
      </c>
      <c r="G8" s="196"/>
      <c r="H8" s="196"/>
      <c r="I8" s="196"/>
      <c r="J8" s="196"/>
      <c r="K8" s="196"/>
      <c r="L8" s="196"/>
      <c r="M8" s="196"/>
      <c r="N8" s="196"/>
    </row>
    <row r="9" spans="1:14" s="59" customFormat="1" x14ac:dyDescent="0.25">
      <c r="A9" s="79"/>
      <c r="B9" s="78" t="s">
        <v>148</v>
      </c>
      <c r="C9" s="187">
        <v>0</v>
      </c>
      <c r="D9" s="134" t="s">
        <v>28</v>
      </c>
      <c r="E9" s="195"/>
      <c r="F9" s="96" t="s">
        <v>170</v>
      </c>
      <c r="G9" s="196"/>
      <c r="H9" s="196"/>
      <c r="I9" s="196"/>
      <c r="J9" s="196"/>
      <c r="K9" s="196"/>
      <c r="L9" s="196"/>
      <c r="M9" s="196"/>
      <c r="N9" s="196"/>
    </row>
    <row r="10" spans="1:14" x14ac:dyDescent="0.25">
      <c r="A10" s="15"/>
      <c r="B10" s="30"/>
      <c r="C10" s="31"/>
      <c r="D10" s="134"/>
      <c r="E10" s="195"/>
      <c r="F10" s="96"/>
      <c r="G10" s="196"/>
      <c r="H10" s="196"/>
      <c r="I10" s="196"/>
      <c r="J10" s="196"/>
      <c r="K10" s="196"/>
      <c r="L10" s="196"/>
      <c r="M10" s="196"/>
      <c r="N10" s="196"/>
    </row>
    <row r="11" spans="1:14" x14ac:dyDescent="0.25">
      <c r="A11" s="15"/>
      <c r="B11" s="39" t="s">
        <v>8</v>
      </c>
      <c r="C11" s="31"/>
      <c r="D11" s="134"/>
      <c r="E11" s="195"/>
      <c r="F11" s="96"/>
      <c r="G11" s="196"/>
      <c r="H11" s="196"/>
      <c r="I11" s="196"/>
      <c r="J11" s="196"/>
      <c r="K11" s="196"/>
      <c r="L11" s="196"/>
      <c r="M11" s="196"/>
      <c r="N11" s="196"/>
    </row>
    <row r="12" spans="1:14" x14ac:dyDescent="0.25">
      <c r="A12" s="15"/>
      <c r="B12" s="37" t="s">
        <v>82</v>
      </c>
      <c r="C12" s="26" t="str">
        <f>IF($C$5*'1. Gegevens PM en Leverancier'!$C$17&gt;=15000,"ja","nee")</f>
        <v>nee</v>
      </c>
      <c r="D12" s="134"/>
      <c r="E12" s="195"/>
      <c r="F12" s="55">
        <v>20</v>
      </c>
      <c r="G12" s="196"/>
      <c r="H12" s="196"/>
      <c r="I12" s="196"/>
      <c r="J12" s="196"/>
      <c r="K12" s="196"/>
      <c r="L12" s="196"/>
      <c r="M12" s="196"/>
      <c r="N12" s="196"/>
    </row>
    <row r="13" spans="1:14" x14ac:dyDescent="0.25">
      <c r="A13" s="15"/>
      <c r="B13" s="37" t="s">
        <v>81</v>
      </c>
      <c r="C13" s="31" t="str">
        <f>IF(AND($C$12="nee",$C$5*'1. Gegevens PM en Leverancier'!$C$18&gt;=2500),"ja","nee")</f>
        <v>ja</v>
      </c>
      <c r="D13" s="134"/>
      <c r="E13" s="195"/>
      <c r="F13" s="55">
        <v>25</v>
      </c>
      <c r="G13" s="196"/>
      <c r="H13" s="196"/>
      <c r="I13" s="196"/>
      <c r="J13" s="196"/>
      <c r="K13" s="196"/>
      <c r="L13" s="196"/>
      <c r="M13" s="196"/>
      <c r="N13" s="196"/>
    </row>
    <row r="14" spans="1:14" x14ac:dyDescent="0.25">
      <c r="A14" s="15"/>
      <c r="B14" s="37" t="s">
        <v>79</v>
      </c>
      <c r="C14" s="188" t="s">
        <v>166</v>
      </c>
      <c r="D14" s="134" t="s">
        <v>28</v>
      </c>
      <c r="E14" s="195"/>
      <c r="F14" s="197"/>
      <c r="G14" s="196"/>
      <c r="H14" s="196"/>
      <c r="I14" s="196"/>
      <c r="J14" s="196"/>
      <c r="K14" s="196"/>
      <c r="L14" s="196"/>
      <c r="M14" s="196"/>
      <c r="N14" s="196"/>
    </row>
    <row r="15" spans="1:14" x14ac:dyDescent="0.25">
      <c r="A15" s="15"/>
      <c r="B15" s="30" t="s">
        <v>89</v>
      </c>
      <c r="C15" s="187">
        <v>20</v>
      </c>
      <c r="D15" s="134" t="s">
        <v>24</v>
      </c>
      <c r="E15" s="195"/>
      <c r="F15" s="197"/>
      <c r="G15" s="196"/>
      <c r="H15" s="196"/>
      <c r="I15" s="196"/>
      <c r="J15" s="196"/>
      <c r="K15" s="196"/>
      <c r="L15" s="196"/>
      <c r="M15" s="196"/>
      <c r="N15" s="196"/>
    </row>
    <row r="16" spans="1:14" x14ac:dyDescent="0.25">
      <c r="B16" s="37" t="s">
        <v>70</v>
      </c>
      <c r="C16" s="189">
        <v>7.2400000000000006E-2</v>
      </c>
      <c r="D16" s="134" t="s">
        <v>147</v>
      </c>
      <c r="E16" s="196"/>
      <c r="F16" s="197"/>
      <c r="G16" s="196"/>
      <c r="H16" s="196"/>
      <c r="I16" s="196"/>
      <c r="J16" s="196"/>
      <c r="K16" s="196"/>
      <c r="L16" s="196"/>
      <c r="M16" s="196"/>
      <c r="N16" s="196"/>
    </row>
    <row r="17" spans="2:14" s="12" customFormat="1" x14ac:dyDescent="0.25">
      <c r="B17" s="37" t="s">
        <v>71</v>
      </c>
      <c r="C17" s="189">
        <v>2.9000000000000001E-2</v>
      </c>
      <c r="D17" s="134" t="s">
        <v>147</v>
      </c>
      <c r="E17" s="196"/>
      <c r="F17" s="196"/>
      <c r="G17" s="196"/>
      <c r="H17" s="196"/>
      <c r="I17" s="196"/>
      <c r="J17" s="196"/>
      <c r="K17" s="196"/>
      <c r="L17" s="196"/>
      <c r="M17" s="196"/>
      <c r="N17" s="196"/>
    </row>
    <row r="18" spans="2:14" x14ac:dyDescent="0.25">
      <c r="B18" s="37" t="s">
        <v>84</v>
      </c>
      <c r="C18" s="189" t="s">
        <v>85</v>
      </c>
      <c r="D18" s="134"/>
      <c r="E18" s="196"/>
      <c r="F18" s="196"/>
      <c r="G18" s="196"/>
      <c r="H18" s="196"/>
      <c r="I18" s="196"/>
      <c r="J18" s="196"/>
      <c r="K18" s="196"/>
      <c r="L18" s="196"/>
      <c r="M18" s="196"/>
      <c r="N18" s="196"/>
    </row>
    <row r="19" spans="2:14" x14ac:dyDescent="0.25">
      <c r="B19" s="37" t="s">
        <v>83</v>
      </c>
      <c r="C19" s="189">
        <v>80</v>
      </c>
      <c r="D19" s="134" t="s">
        <v>26</v>
      </c>
      <c r="E19" s="196"/>
      <c r="F19" s="196"/>
      <c r="G19" s="196"/>
      <c r="H19" s="196"/>
      <c r="I19" s="196"/>
      <c r="J19" s="196"/>
      <c r="K19" s="196"/>
      <c r="L19" s="196"/>
      <c r="M19" s="196"/>
      <c r="N19" s="196"/>
    </row>
    <row r="20" spans="2:14" x14ac:dyDescent="0.25">
      <c r="B20" s="37" t="s">
        <v>75</v>
      </c>
      <c r="C20" s="189">
        <v>25</v>
      </c>
      <c r="D20" s="135" t="s">
        <v>74</v>
      </c>
      <c r="E20" s="196"/>
      <c r="F20" s="196"/>
      <c r="G20" s="196"/>
      <c r="H20" s="196"/>
      <c r="I20" s="196"/>
      <c r="J20" s="196"/>
      <c r="K20" s="196"/>
      <c r="L20" s="196"/>
      <c r="M20" s="196"/>
      <c r="N20" s="196"/>
    </row>
    <row r="21" spans="2:14" x14ac:dyDescent="0.25">
      <c r="B21" s="37"/>
      <c r="C21" s="31"/>
      <c r="D21" s="134"/>
      <c r="E21" s="196"/>
      <c r="F21" s="196"/>
      <c r="G21" s="196"/>
      <c r="H21" s="196"/>
      <c r="I21" s="196"/>
      <c r="J21" s="196"/>
      <c r="K21" s="196"/>
      <c r="L21" s="196"/>
      <c r="M21" s="196"/>
      <c r="N21" s="196"/>
    </row>
    <row r="22" spans="2:14" x14ac:dyDescent="0.25">
      <c r="B22" s="38" t="s">
        <v>80</v>
      </c>
      <c r="C22" s="31"/>
      <c r="D22" s="134"/>
      <c r="E22" s="196"/>
      <c r="F22" s="196"/>
      <c r="G22" s="196"/>
      <c r="H22" s="196"/>
      <c r="I22" s="196"/>
      <c r="J22" s="196"/>
      <c r="K22" s="196"/>
      <c r="L22" s="196"/>
      <c r="M22" s="196"/>
      <c r="N22" s="196"/>
    </row>
    <row r="23" spans="2:14" x14ac:dyDescent="0.25">
      <c r="B23" s="30" t="s">
        <v>20</v>
      </c>
      <c r="C23" s="187">
        <v>50</v>
      </c>
      <c r="D23" s="134" t="s">
        <v>149</v>
      </c>
      <c r="E23" s="196"/>
      <c r="F23" s="196"/>
      <c r="G23" s="196"/>
      <c r="H23" s="196"/>
      <c r="I23" s="196"/>
      <c r="J23" s="196"/>
      <c r="K23" s="196"/>
      <c r="L23" s="196"/>
      <c r="M23" s="196"/>
      <c r="N23" s="196"/>
    </row>
    <row r="24" spans="2:14" ht="15.75" thickBot="1" x14ac:dyDescent="0.3">
      <c r="B24" s="34" t="s">
        <v>63</v>
      </c>
      <c r="C24" s="190">
        <v>0</v>
      </c>
      <c r="D24" s="136" t="s">
        <v>26</v>
      </c>
      <c r="E24" s="196"/>
      <c r="F24" s="196"/>
      <c r="G24" s="196"/>
      <c r="H24" s="196"/>
      <c r="I24" s="196"/>
      <c r="J24" s="196"/>
      <c r="K24" s="196"/>
      <c r="L24" s="196"/>
      <c r="M24" s="196"/>
      <c r="N24" s="196"/>
    </row>
    <row r="25" spans="2:14" ht="15.75" thickBot="1" x14ac:dyDescent="0.3">
      <c r="E25" s="196"/>
      <c r="F25" s="196"/>
      <c r="G25" s="196"/>
      <c r="H25" s="196"/>
      <c r="I25" s="196"/>
      <c r="J25" s="196"/>
      <c r="K25" s="196"/>
      <c r="L25" s="196"/>
      <c r="M25" s="196"/>
      <c r="N25" s="196"/>
    </row>
    <row r="26" spans="2:14" x14ac:dyDescent="0.25">
      <c r="B26" s="44" t="s">
        <v>35</v>
      </c>
      <c r="C26" s="45"/>
      <c r="D26" s="46"/>
      <c r="E26" s="196"/>
      <c r="F26" s="196"/>
      <c r="G26" s="196"/>
      <c r="H26" s="196"/>
      <c r="I26" s="196"/>
      <c r="J26" s="196"/>
      <c r="K26" s="196"/>
      <c r="L26" s="196"/>
      <c r="M26" s="196"/>
      <c r="N26" s="196"/>
    </row>
    <row r="27" spans="2:14" x14ac:dyDescent="0.25">
      <c r="B27" s="47"/>
      <c r="C27" s="48"/>
      <c r="D27" s="49"/>
      <c r="E27" s="196"/>
      <c r="F27" s="196"/>
      <c r="G27" s="196"/>
      <c r="H27" s="196"/>
      <c r="I27" s="196"/>
      <c r="J27" s="196"/>
      <c r="K27" s="196"/>
      <c r="L27" s="196"/>
      <c r="M27" s="196"/>
      <c r="N27" s="196"/>
    </row>
    <row r="28" spans="2:14" x14ac:dyDescent="0.25">
      <c r="B28" s="50" t="s">
        <v>0</v>
      </c>
      <c r="C28" s="48"/>
      <c r="D28" s="49"/>
    </row>
    <row r="29" spans="2:14" x14ac:dyDescent="0.25">
      <c r="B29" s="47" t="s">
        <v>36</v>
      </c>
      <c r="C29" s="93">
        <f>C5*'1. Gegevens PM en Leverancier'!C18</f>
        <v>5500</v>
      </c>
      <c r="D29" s="49" t="s">
        <v>28</v>
      </c>
    </row>
    <row r="30" spans="2:14" x14ac:dyDescent="0.25">
      <c r="B30" s="84" t="s">
        <v>148</v>
      </c>
      <c r="C30" s="93">
        <f>$C$9</f>
        <v>0</v>
      </c>
      <c r="D30" s="86" t="s">
        <v>28</v>
      </c>
    </row>
    <row r="31" spans="2:14" x14ac:dyDescent="0.25">
      <c r="B31" s="47" t="s">
        <v>86</v>
      </c>
      <c r="C31" s="93">
        <f>IF(AND(C12="ja",C18="nee"),C19,0)</f>
        <v>0</v>
      </c>
      <c r="D31" s="49" t="s">
        <v>28</v>
      </c>
    </row>
    <row r="32" spans="2:14" x14ac:dyDescent="0.25">
      <c r="B32" s="47" t="s">
        <v>37</v>
      </c>
      <c r="C32" s="93">
        <f>((100-C23)/100)*('1. Gegevens PM en Leverancier'!C24/100)*'2. BC Bedrijf'!C29</f>
        <v>137.5</v>
      </c>
      <c r="D32" s="49" t="s">
        <v>28</v>
      </c>
    </row>
    <row r="33" spans="2:4" x14ac:dyDescent="0.25">
      <c r="B33" s="47" t="s">
        <v>63</v>
      </c>
      <c r="C33" s="93">
        <f>C24</f>
        <v>0</v>
      </c>
      <c r="D33" s="49" t="s">
        <v>28</v>
      </c>
    </row>
    <row r="34" spans="2:4" x14ac:dyDescent="0.25">
      <c r="B34" s="173" t="s">
        <v>5</v>
      </c>
      <c r="C34" s="174">
        <f>SUM(C29:C33)</f>
        <v>5637.5</v>
      </c>
      <c r="D34" s="175" t="s">
        <v>26</v>
      </c>
    </row>
    <row r="35" spans="2:4" x14ac:dyDescent="0.25">
      <c r="B35" s="47"/>
      <c r="C35" s="93"/>
      <c r="D35" s="49"/>
    </row>
    <row r="36" spans="2:4" x14ac:dyDescent="0.25">
      <c r="B36" s="50" t="s">
        <v>9</v>
      </c>
      <c r="C36" s="93"/>
      <c r="D36" s="49"/>
    </row>
    <row r="37" spans="2:4" x14ac:dyDescent="0.25">
      <c r="B37" s="47" t="s">
        <v>18</v>
      </c>
      <c r="C37" s="93">
        <f>(C23/100)*('1. Gegevens PM en Leverancier'!C24/100)*'2. BC Bedrijf'!C29</f>
        <v>137.5</v>
      </c>
      <c r="D37" s="49" t="s">
        <v>28</v>
      </c>
    </row>
    <row r="38" spans="2:4" x14ac:dyDescent="0.25">
      <c r="B38" s="47" t="s">
        <v>87</v>
      </c>
      <c r="C38" s="93">
        <f>IF(C14=F5,0,(IF(C14=F6,0.28*C29,IF(C14=F7,16568,IF(C14=F8,16568-0.0756*(C29-109574),IF(C14=F9,0))))))</f>
        <v>0</v>
      </c>
      <c r="D38" s="49" t="s">
        <v>28</v>
      </c>
    </row>
    <row r="39" spans="2:4" x14ac:dyDescent="0.25">
      <c r="B39" s="51" t="s">
        <v>88</v>
      </c>
      <c r="C39" s="59">
        <f>IF(C13="ja",(C15/100)*0.555*C29,0)</f>
        <v>610.50000000000011</v>
      </c>
      <c r="D39" s="53" t="s">
        <v>28</v>
      </c>
    </row>
    <row r="40" spans="2:4" x14ac:dyDescent="0.25">
      <c r="B40" s="47" t="s">
        <v>38</v>
      </c>
      <c r="C40" s="93">
        <f>IF($C$5*'1. Gegevens PM en Leverancier'!$C$20&lt;='2. BC Bedrijf'!$C$7,'2. BC Bedrijf'!$C$5*'1. Gegevens PM en Leverancier'!$C$20*'2. BC Bedrijf'!$C$6,'2. BC Bedrijf'!$C$7*'2. BC Bedrijf'!$C$6+('2. BC Bedrijf'!$C$8*($C$5*'1. Gegevens PM en Leverancier'!$C$20-'2. BC Bedrijf'!$C$7)))</f>
        <v>555</v>
      </c>
      <c r="D40" s="49" t="s">
        <v>26</v>
      </c>
    </row>
    <row r="41" spans="2:4" x14ac:dyDescent="0.25">
      <c r="B41" s="54" t="s">
        <v>69</v>
      </c>
      <c r="C41" s="94">
        <f>IF(C12="nee",0,(((C16-C17)*0.001*C5*'1. Gegevens PM en Leverancier'!$C$17*950)-(IF('2. BC Bedrijf'!C18="ja",0,'2. BC Bedrijf'!C20))))</f>
        <v>0</v>
      </c>
      <c r="D41" s="43" t="s">
        <v>28</v>
      </c>
    </row>
    <row r="42" spans="2:4" x14ac:dyDescent="0.25">
      <c r="B42" s="52"/>
      <c r="C42" s="48"/>
      <c r="D42" s="49"/>
    </row>
    <row r="43" spans="2:4" ht="15.75" thickBot="1" x14ac:dyDescent="0.3">
      <c r="B43" s="176" t="s">
        <v>10</v>
      </c>
      <c r="C43" s="179">
        <f>(C34-C37-C38-C39)/(C40+C41)</f>
        <v>8.8099099099099103</v>
      </c>
      <c r="D43" s="178" t="s">
        <v>25</v>
      </c>
    </row>
    <row r="44" spans="2:4" ht="15.75" thickBot="1" x14ac:dyDescent="0.3"/>
    <row r="45" spans="2:4" x14ac:dyDescent="0.25">
      <c r="B45" s="65" t="s">
        <v>91</v>
      </c>
      <c r="C45" s="140"/>
      <c r="D45" s="70"/>
    </row>
    <row r="46" spans="2:4" x14ac:dyDescent="0.25">
      <c r="B46" s="78"/>
      <c r="C46" s="141"/>
      <c r="D46" s="72"/>
    </row>
    <row r="47" spans="2:4" x14ac:dyDescent="0.25">
      <c r="B47" s="142" t="s">
        <v>152</v>
      </c>
      <c r="C47" s="143">
        <f>C5*'1. Gegevens PM en Leverancier'!C20</f>
        <v>4625</v>
      </c>
      <c r="D47" s="144" t="s">
        <v>23</v>
      </c>
    </row>
    <row r="48" spans="2:4" x14ac:dyDescent="0.25">
      <c r="B48" s="142"/>
      <c r="C48" s="143">
        <f>C47*3.6</f>
        <v>16650</v>
      </c>
      <c r="D48" s="144" t="s">
        <v>158</v>
      </c>
    </row>
    <row r="49" spans="2:4" ht="15.75" thickBot="1" x14ac:dyDescent="0.3">
      <c r="B49" s="145" t="s">
        <v>150</v>
      </c>
      <c r="C49" s="146">
        <f>0.0005925*C47</f>
        <v>2.7403125000000004</v>
      </c>
      <c r="D49" s="147" t="s">
        <v>151</v>
      </c>
    </row>
  </sheetData>
  <dataValidations disablePrompts="1" count="3">
    <dataValidation type="list" allowBlank="1" showInputMessage="1" showErrorMessage="1" sqref="C18" xr:uid="{00000000-0002-0000-0200-000000000000}">
      <formula1>$F$2:$F$3</formula1>
    </dataValidation>
    <dataValidation type="list" allowBlank="1" showInputMessage="1" showErrorMessage="1" sqref="C15" xr:uid="{00000000-0002-0000-0200-000001000000}">
      <formula1>$F$12:$F$13</formula1>
    </dataValidation>
    <dataValidation type="list" allowBlank="1" showInputMessage="1" showErrorMessage="1" sqref="C14" xr:uid="{00000000-0002-0000-0200-000002000000}">
      <formula1>$F$5:$F$10</formula1>
    </dataValidation>
  </dataValidations>
  <hyperlinks>
    <hyperlink ref="F2" location="'0. Startpagina'!A1" display="Ga naar de STARTPAGINA" xr:uid="{00000000-0004-0000-0200-000000000000}"/>
  </hyperlinks>
  <pageMargins left="0.7" right="0.7" top="0.75" bottom="0.75" header="0.3" footer="0.3"/>
  <pageSetup paperSize="9" orientation="portrait" r:id="rId1"/>
  <ignoredErrors>
    <ignoredError sqref="C49" evalError="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B1:J30"/>
  <sheetViews>
    <sheetView showGridLines="0" zoomScaleNormal="100" workbookViewId="0"/>
  </sheetViews>
  <sheetFormatPr defaultRowHeight="15" x14ac:dyDescent="0.25"/>
  <cols>
    <col min="1" max="1" width="4.85546875" style="59" customWidth="1"/>
    <col min="2" max="2" width="30" style="59" customWidth="1"/>
    <col min="3" max="3" width="20.7109375" style="59" customWidth="1"/>
    <col min="4" max="4" width="26" style="59" bestFit="1" customWidth="1"/>
    <col min="5" max="5" width="29.140625" style="59" bestFit="1" customWidth="1"/>
    <col min="6" max="6" width="22.28515625" style="59" customWidth="1"/>
    <col min="7" max="7" width="27.140625" style="59" customWidth="1"/>
    <col min="8" max="8" width="6.28515625" style="59" customWidth="1"/>
    <col min="9" max="9" width="25.85546875" style="59" customWidth="1"/>
    <col min="10" max="16384" width="9.140625" style="59"/>
  </cols>
  <sheetData>
    <row r="1" spans="2:10" ht="15.75" thickBot="1" x14ac:dyDescent="0.3"/>
    <row r="2" spans="2:10" ht="15.75" thickBot="1" x14ac:dyDescent="0.3">
      <c r="B2" s="36" t="s">
        <v>57</v>
      </c>
      <c r="C2" s="57"/>
      <c r="D2" s="60"/>
      <c r="E2" s="60"/>
      <c r="F2" s="60"/>
      <c r="G2" s="61"/>
      <c r="H2" s="79"/>
      <c r="I2" s="133" t="s">
        <v>144</v>
      </c>
      <c r="J2" s="137"/>
    </row>
    <row r="3" spans="2:10" x14ac:dyDescent="0.25">
      <c r="B3" s="78"/>
      <c r="C3" s="79"/>
      <c r="D3" s="79"/>
      <c r="E3" s="79"/>
      <c r="F3" s="79"/>
      <c r="G3" s="67"/>
      <c r="H3" s="79"/>
    </row>
    <row r="4" spans="2:10" x14ac:dyDescent="0.25">
      <c r="B4" s="148" t="s">
        <v>95</v>
      </c>
      <c r="C4" s="149" t="s">
        <v>59</v>
      </c>
      <c r="D4" s="149" t="s">
        <v>153</v>
      </c>
      <c r="E4" s="149" t="s">
        <v>96</v>
      </c>
      <c r="F4" s="149" t="s">
        <v>154</v>
      </c>
      <c r="G4" s="150" t="s">
        <v>155</v>
      </c>
      <c r="H4" s="79"/>
    </row>
    <row r="5" spans="2:10" x14ac:dyDescent="0.25">
      <c r="B5" s="191" t="s">
        <v>46</v>
      </c>
      <c r="C5" s="192">
        <v>30</v>
      </c>
      <c r="D5" s="192">
        <v>300</v>
      </c>
      <c r="E5" s="193">
        <v>1</v>
      </c>
      <c r="F5" s="99">
        <f>D5+('[1]1. Gegevens PM en Leverancier'!$C$24/100)*('[1]1. Gegevens PM en Leverancier'!$C$16+'[1]1. Gegevens PM en Leverancier'!$C$17)*C5*(1-E5)</f>
        <v>300</v>
      </c>
      <c r="G5" s="194">
        <v>6938</v>
      </c>
      <c r="H5" s="79"/>
    </row>
    <row r="6" spans="2:10" x14ac:dyDescent="0.25">
      <c r="B6" s="191" t="s">
        <v>47</v>
      </c>
      <c r="C6" s="192">
        <v>30</v>
      </c>
      <c r="D6" s="192">
        <v>300</v>
      </c>
      <c r="E6" s="193">
        <v>1</v>
      </c>
      <c r="F6" s="99">
        <f>D6+('[1]1. Gegevens PM en Leverancier'!$C$24/100)*('[1]1. Gegevens PM en Leverancier'!$C$16+'[1]1. Gegevens PM en Leverancier'!$C$17)*C6*(1-E6)</f>
        <v>300</v>
      </c>
      <c r="G6" s="194">
        <v>6938</v>
      </c>
      <c r="H6" s="79"/>
    </row>
    <row r="7" spans="2:10" x14ac:dyDescent="0.25">
      <c r="B7" s="191" t="s">
        <v>48</v>
      </c>
      <c r="C7" s="192">
        <v>30</v>
      </c>
      <c r="D7" s="192">
        <v>250</v>
      </c>
      <c r="E7" s="193">
        <v>1</v>
      </c>
      <c r="F7" s="99">
        <f>D7+('[1]1. Gegevens PM en Leverancier'!$C$24/100)*('[1]1. Gegevens PM en Leverancier'!$C$16+'[1]1. Gegevens PM en Leverancier'!$C$17)*C7*(1-E7)</f>
        <v>250</v>
      </c>
      <c r="G7" s="194">
        <v>6938</v>
      </c>
      <c r="H7" s="79"/>
    </row>
    <row r="8" spans="2:10" x14ac:dyDescent="0.25">
      <c r="B8" s="191" t="s">
        <v>49</v>
      </c>
      <c r="C8" s="192">
        <v>30</v>
      </c>
      <c r="D8" s="192">
        <v>200</v>
      </c>
      <c r="E8" s="193">
        <v>1</v>
      </c>
      <c r="F8" s="99">
        <f>D8+('[1]1. Gegevens PM en Leverancier'!$C$24/100)*('[1]1. Gegevens PM en Leverancier'!$C$16+'[1]1. Gegevens PM en Leverancier'!$C$17)*C8*(1-E8)</f>
        <v>200</v>
      </c>
      <c r="G8" s="194">
        <v>6938</v>
      </c>
      <c r="H8" s="79"/>
    </row>
    <row r="9" spans="2:10" x14ac:dyDescent="0.25">
      <c r="B9" s="191" t="s">
        <v>50</v>
      </c>
      <c r="C9" s="192">
        <v>30</v>
      </c>
      <c r="D9" s="192">
        <v>200</v>
      </c>
      <c r="E9" s="193">
        <v>1</v>
      </c>
      <c r="F9" s="99">
        <f>D9+('[1]1. Gegevens PM en Leverancier'!$C$24/100)*('[1]1. Gegevens PM en Leverancier'!$C$16+'[1]1. Gegevens PM en Leverancier'!$C$17)*C9*(1-E9)</f>
        <v>200</v>
      </c>
      <c r="G9" s="194">
        <v>6938</v>
      </c>
      <c r="H9" s="79"/>
    </row>
    <row r="10" spans="2:10" x14ac:dyDescent="0.25">
      <c r="B10" s="191" t="s">
        <v>51</v>
      </c>
      <c r="C10" s="192">
        <v>50</v>
      </c>
      <c r="D10" s="192">
        <v>100</v>
      </c>
      <c r="E10" s="193">
        <v>0.5</v>
      </c>
      <c r="F10" s="99">
        <f>D10+('[1]1. Gegevens PM en Leverancier'!$C$24/100)*('[1]1. Gegevens PM en Leverancier'!$C$16+'[1]1. Gegevens PM en Leverancier'!$C$17)*C10*(1-E10)</f>
        <v>156.25</v>
      </c>
      <c r="G10" s="194">
        <v>11563</v>
      </c>
      <c r="H10" s="79"/>
    </row>
    <row r="11" spans="2:10" x14ac:dyDescent="0.25">
      <c r="B11" s="191" t="s">
        <v>52</v>
      </c>
      <c r="C11" s="192">
        <v>50</v>
      </c>
      <c r="D11" s="192">
        <v>0</v>
      </c>
      <c r="E11" s="193">
        <v>0.5</v>
      </c>
      <c r="F11" s="99">
        <f>D11+('[1]1. Gegevens PM en Leverancier'!$C$24/100)*('[1]1. Gegevens PM en Leverancier'!$C$16+'[1]1. Gegevens PM en Leverancier'!$C$17)*C11*(1-E11)</f>
        <v>56.25</v>
      </c>
      <c r="G11" s="194">
        <v>11563</v>
      </c>
      <c r="H11" s="79"/>
    </row>
    <row r="12" spans="2:10" x14ac:dyDescent="0.25">
      <c r="B12" s="191" t="s">
        <v>53</v>
      </c>
      <c r="C12" s="192">
        <v>50</v>
      </c>
      <c r="D12" s="192">
        <v>0</v>
      </c>
      <c r="E12" s="193">
        <v>0.5</v>
      </c>
      <c r="F12" s="99">
        <f>D12+('[1]1. Gegevens PM en Leverancier'!$C$24/100)*('[1]1. Gegevens PM en Leverancier'!$C$16+'[1]1. Gegevens PM en Leverancier'!$C$17)*C12*(1-E12)</f>
        <v>56.25</v>
      </c>
      <c r="G12" s="194">
        <v>4625</v>
      </c>
      <c r="H12" s="79"/>
    </row>
    <row r="13" spans="2:10" x14ac:dyDescent="0.25">
      <c r="B13" s="191" t="s">
        <v>54</v>
      </c>
      <c r="C13" s="192">
        <v>20</v>
      </c>
      <c r="D13" s="192">
        <v>0</v>
      </c>
      <c r="E13" s="193">
        <v>0.5</v>
      </c>
      <c r="F13" s="99">
        <f>D13+('[1]1. Gegevens PM en Leverancier'!$C$24/100)*('[1]1. Gegevens PM en Leverancier'!$C$16+'[1]1. Gegevens PM en Leverancier'!$C$17)*C13*(1-E13)</f>
        <v>22.5</v>
      </c>
      <c r="G13" s="194">
        <v>4625</v>
      </c>
      <c r="H13" s="79"/>
    </row>
    <row r="14" spans="2:10" x14ac:dyDescent="0.25">
      <c r="B14" s="191" t="s">
        <v>55</v>
      </c>
      <c r="C14" s="192">
        <v>20</v>
      </c>
      <c r="D14" s="192">
        <v>100</v>
      </c>
      <c r="E14" s="193">
        <v>0.5</v>
      </c>
      <c r="F14" s="99">
        <f>D14+('[1]1. Gegevens PM en Leverancier'!$C$24/100)*('[1]1. Gegevens PM en Leverancier'!$C$16+'[1]1. Gegevens PM en Leverancier'!$C$17)*C14*(1-E14)</f>
        <v>122.5</v>
      </c>
      <c r="G14" s="194">
        <v>4625</v>
      </c>
      <c r="H14" s="79"/>
    </row>
    <row r="15" spans="2:10" x14ac:dyDescent="0.25">
      <c r="B15" s="191" t="s">
        <v>97</v>
      </c>
      <c r="C15" s="192"/>
      <c r="D15" s="192"/>
      <c r="E15" s="193"/>
      <c r="F15" s="99">
        <f>D15+('[1]1. Gegevens PM en Leverancier'!$C$24/100)*('[1]1. Gegevens PM en Leverancier'!$C$16+'[1]1. Gegevens PM en Leverancier'!$C$17)*C15*(1-E15)</f>
        <v>0</v>
      </c>
      <c r="G15" s="194"/>
      <c r="H15" s="79"/>
    </row>
    <row r="16" spans="2:10" x14ac:dyDescent="0.25">
      <c r="B16" s="191" t="s">
        <v>98</v>
      </c>
      <c r="C16" s="192"/>
      <c r="D16" s="192"/>
      <c r="E16" s="193"/>
      <c r="F16" s="99">
        <f>D16+('[1]1. Gegevens PM en Leverancier'!$C$24/100)*('[1]1. Gegevens PM en Leverancier'!$C$16+'[1]1. Gegevens PM en Leverancier'!$C$17)*C16*(1-E16)</f>
        <v>0</v>
      </c>
      <c r="G16" s="194"/>
      <c r="H16" s="79"/>
    </row>
    <row r="17" spans="2:8" x14ac:dyDescent="0.25">
      <c r="B17" s="191" t="s">
        <v>99</v>
      </c>
      <c r="C17" s="192"/>
      <c r="D17" s="192"/>
      <c r="E17" s="193"/>
      <c r="F17" s="99">
        <f>D17+('[1]1. Gegevens PM en Leverancier'!$C$24/100)*('[1]1. Gegevens PM en Leverancier'!$C$16+'[1]1. Gegevens PM en Leverancier'!$C$17)*C17*(1-E17)</f>
        <v>0</v>
      </c>
      <c r="G17" s="194"/>
      <c r="H17" s="79"/>
    </row>
    <row r="18" spans="2:8" x14ac:dyDescent="0.25">
      <c r="B18" s="191" t="s">
        <v>100</v>
      </c>
      <c r="C18" s="192"/>
      <c r="D18" s="192"/>
      <c r="E18" s="193"/>
      <c r="F18" s="99">
        <f>D18+('[1]1. Gegevens PM en Leverancier'!$C$24/100)*('[1]1. Gegevens PM en Leverancier'!$C$16+'[1]1. Gegevens PM en Leverancier'!$C$17)*C18*(1-E18)</f>
        <v>0</v>
      </c>
      <c r="G18" s="194"/>
      <c r="H18" s="79"/>
    </row>
    <row r="19" spans="2:8" x14ac:dyDescent="0.25">
      <c r="B19" s="191" t="s">
        <v>101</v>
      </c>
      <c r="C19" s="192"/>
      <c r="D19" s="192"/>
      <c r="E19" s="193"/>
      <c r="F19" s="99">
        <f>D19+('[1]1. Gegevens PM en Leverancier'!$C$24/100)*('[1]1. Gegevens PM en Leverancier'!$C$16+'[1]1. Gegevens PM en Leverancier'!$C$17)*C19*(1-E19)</f>
        <v>0</v>
      </c>
      <c r="G19" s="194"/>
      <c r="H19" s="79"/>
    </row>
    <row r="20" spans="2:8" x14ac:dyDescent="0.25">
      <c r="B20" s="63"/>
      <c r="C20" s="97"/>
      <c r="D20" s="98"/>
      <c r="E20" s="56"/>
      <c r="F20" s="98"/>
      <c r="G20" s="100"/>
      <c r="H20" s="79"/>
    </row>
    <row r="21" spans="2:8" ht="15.75" thickBot="1" x14ac:dyDescent="0.3">
      <c r="B21" s="151" t="s">
        <v>56</v>
      </c>
      <c r="C21" s="152">
        <f>SUM(C5:C19)</f>
        <v>340</v>
      </c>
      <c r="D21" s="152"/>
      <c r="E21" s="153"/>
      <c r="F21" s="152">
        <f>SUM(F5:F19)</f>
        <v>1663.75</v>
      </c>
      <c r="G21" s="154">
        <f>SUM(G5:G19)</f>
        <v>71691</v>
      </c>
      <c r="H21" s="79"/>
    </row>
    <row r="22" spans="2:8" x14ac:dyDescent="0.25">
      <c r="B22" s="64"/>
      <c r="C22" s="155"/>
      <c r="D22" s="155"/>
      <c r="E22" s="155"/>
      <c r="F22" s="155"/>
      <c r="G22" s="156"/>
      <c r="H22" s="155"/>
    </row>
    <row r="23" spans="2:8" ht="15.75" thickBot="1" x14ac:dyDescent="0.3">
      <c r="B23" s="79"/>
      <c r="C23" s="157"/>
      <c r="D23" s="157"/>
      <c r="E23" s="157"/>
      <c r="F23" s="157"/>
      <c r="G23" s="157"/>
      <c r="H23" s="157"/>
    </row>
    <row r="24" spans="2:8" x14ac:dyDescent="0.25">
      <c r="B24" s="123" t="s">
        <v>102</v>
      </c>
      <c r="C24" s="60"/>
      <c r="D24" s="61"/>
      <c r="E24" s="79"/>
      <c r="F24" s="158"/>
      <c r="G24" s="141"/>
      <c r="H24" s="79"/>
    </row>
    <row r="25" spans="2:8" x14ac:dyDescent="0.25">
      <c r="B25" s="63"/>
      <c r="C25" s="66"/>
      <c r="D25" s="67"/>
      <c r="E25" s="79"/>
      <c r="F25" s="141"/>
      <c r="G25" s="141"/>
      <c r="H25" s="79"/>
    </row>
    <row r="26" spans="2:8" x14ac:dyDescent="0.25">
      <c r="B26" s="126" t="s">
        <v>103</v>
      </c>
      <c r="C26" s="159">
        <f>C21</f>
        <v>340</v>
      </c>
      <c r="D26" s="131" t="s">
        <v>29</v>
      </c>
      <c r="F26" s="160"/>
      <c r="G26" s="161"/>
    </row>
    <row r="27" spans="2:8" x14ac:dyDescent="0.25">
      <c r="B27" s="126" t="s">
        <v>104</v>
      </c>
      <c r="C27" s="159">
        <f>C26*'1. Gegevens PM en Leverancier'!C18</f>
        <v>93500</v>
      </c>
      <c r="D27" s="131" t="s">
        <v>28</v>
      </c>
      <c r="F27" s="162"/>
      <c r="G27" s="161"/>
    </row>
    <row r="28" spans="2:8" x14ac:dyDescent="0.25">
      <c r="B28" s="126" t="s">
        <v>156</v>
      </c>
      <c r="C28" s="159">
        <f>F21</f>
        <v>1663.75</v>
      </c>
      <c r="D28" s="131" t="s">
        <v>28</v>
      </c>
      <c r="F28" s="163"/>
      <c r="G28" s="161"/>
    </row>
    <row r="29" spans="2:8" ht="15.75" thickBot="1" x14ac:dyDescent="0.3">
      <c r="B29" s="164" t="s">
        <v>105</v>
      </c>
      <c r="C29" s="165">
        <f>G21</f>
        <v>71691</v>
      </c>
      <c r="D29" s="166" t="s">
        <v>92</v>
      </c>
    </row>
    <row r="30" spans="2:8" x14ac:dyDescent="0.25">
      <c r="B30" s="79"/>
      <c r="C30" s="79"/>
      <c r="D30" s="167"/>
    </row>
  </sheetData>
  <sheetProtection password="EA5E" sheet="1" objects="1" scenarios="1"/>
  <hyperlinks>
    <hyperlink ref="I2" location="'0. Startpagina'!A1" display="Ga naar de STARTPAGINA" xr:uid="{00000000-0004-0000-0300-000000000000}"/>
  </hyperlink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sheetPr>
  <dimension ref="A1:F22"/>
  <sheetViews>
    <sheetView showGridLines="0" workbookViewId="0"/>
  </sheetViews>
  <sheetFormatPr defaultRowHeight="15" x14ac:dyDescent="0.25"/>
  <cols>
    <col min="1" max="1" width="5.42578125" customWidth="1"/>
    <col min="2" max="2" width="29" customWidth="1"/>
    <col min="3" max="3" width="11.28515625" customWidth="1"/>
    <col min="4" max="4" width="10.28515625" customWidth="1"/>
    <col min="5" max="5" width="6.140625" customWidth="1"/>
    <col min="6" max="6" width="25.5703125" bestFit="1" customWidth="1"/>
    <col min="7" max="7" width="20" customWidth="1"/>
  </cols>
  <sheetData>
    <row r="1" spans="1:6" ht="15.75" thickBot="1" x14ac:dyDescent="0.3">
      <c r="A1" s="79"/>
      <c r="B1" s="79"/>
      <c r="C1" s="79"/>
      <c r="D1" s="79"/>
      <c r="E1" s="79"/>
    </row>
    <row r="2" spans="1:6" ht="15.75" thickBot="1" x14ac:dyDescent="0.3">
      <c r="A2" s="79"/>
      <c r="B2" s="81" t="s">
        <v>40</v>
      </c>
      <c r="C2" s="82"/>
      <c r="D2" s="83"/>
      <c r="E2" s="79"/>
      <c r="F2" s="133" t="s">
        <v>144</v>
      </c>
    </row>
    <row r="3" spans="1:6" x14ac:dyDescent="0.25">
      <c r="A3" s="79"/>
      <c r="B3" s="84"/>
      <c r="C3" s="85"/>
      <c r="D3" s="86"/>
      <c r="E3" s="79"/>
    </row>
    <row r="4" spans="1:6" x14ac:dyDescent="0.25">
      <c r="A4" s="79"/>
      <c r="B4" s="87" t="s">
        <v>0</v>
      </c>
      <c r="C4" s="85"/>
      <c r="D4" s="86"/>
      <c r="E4" s="79"/>
    </row>
    <row r="5" spans="1:6" x14ac:dyDescent="0.25">
      <c r="A5" s="79"/>
      <c r="B5" s="84" t="s">
        <v>72</v>
      </c>
      <c r="C5" s="93">
        <f>'3. Bedrijvenoverzicht'!C26*'1. Gegevens PM en Leverancier'!C19</f>
        <v>85000</v>
      </c>
      <c r="D5" s="86" t="s">
        <v>28</v>
      </c>
      <c r="E5" s="79"/>
    </row>
    <row r="6" spans="1:6" x14ac:dyDescent="0.25">
      <c r="A6" s="79"/>
      <c r="B6" s="84" t="s">
        <v>39</v>
      </c>
      <c r="C6" s="93">
        <f>'1. Gegevens PM en Leverancier'!C23</f>
        <v>2500</v>
      </c>
      <c r="D6" s="86" t="s">
        <v>28</v>
      </c>
      <c r="E6" s="79"/>
    </row>
    <row r="7" spans="1:6" x14ac:dyDescent="0.25">
      <c r="A7" s="79"/>
      <c r="B7" s="84" t="s">
        <v>18</v>
      </c>
      <c r="C7" s="93">
        <f>('1. Gegevens PM en Leverancier'!C24/100)*'3. Bedrijvenoverzicht'!C27</f>
        <v>4675</v>
      </c>
      <c r="D7" s="86" t="s">
        <v>28</v>
      </c>
      <c r="E7" s="79"/>
    </row>
    <row r="8" spans="1:6" x14ac:dyDescent="0.25">
      <c r="A8" s="79"/>
      <c r="B8" s="84" t="s">
        <v>41</v>
      </c>
      <c r="C8" s="93">
        <f>'1. Gegevens PM en Leverancier'!C26*'1. Gegevens PM en Leverancier'!C27</f>
        <v>375</v>
      </c>
      <c r="D8" s="86" t="s">
        <v>28</v>
      </c>
      <c r="E8" s="79"/>
    </row>
    <row r="9" spans="1:6" x14ac:dyDescent="0.25">
      <c r="A9" s="79"/>
      <c r="B9" s="173" t="s">
        <v>5</v>
      </c>
      <c r="C9" s="174">
        <f>SUM(C5:C8)</f>
        <v>92550</v>
      </c>
      <c r="D9" s="175" t="s">
        <v>28</v>
      </c>
      <c r="E9" s="79"/>
      <c r="F9" s="79"/>
    </row>
    <row r="10" spans="1:6" x14ac:dyDescent="0.25">
      <c r="A10" s="79"/>
      <c r="B10" s="84"/>
      <c r="C10" s="93"/>
      <c r="D10" s="86"/>
      <c r="E10" s="79"/>
      <c r="F10" s="79"/>
    </row>
    <row r="11" spans="1:6" x14ac:dyDescent="0.25">
      <c r="A11" s="79"/>
      <c r="B11" s="87" t="s">
        <v>9</v>
      </c>
      <c r="C11" s="93"/>
      <c r="D11" s="86"/>
      <c r="E11" s="79"/>
      <c r="F11" s="79"/>
    </row>
    <row r="12" spans="1:6" x14ac:dyDescent="0.25">
      <c r="A12" s="79"/>
      <c r="B12" s="84" t="s">
        <v>73</v>
      </c>
      <c r="C12" s="93">
        <f>'3. Bedrijvenoverzicht'!C27</f>
        <v>93500</v>
      </c>
      <c r="D12" s="86" t="s">
        <v>28</v>
      </c>
      <c r="E12" s="79"/>
      <c r="F12" s="79"/>
    </row>
    <row r="13" spans="1:6" x14ac:dyDescent="0.25">
      <c r="A13" s="79"/>
      <c r="B13" s="173" t="s">
        <v>6</v>
      </c>
      <c r="C13" s="174">
        <f>C12</f>
        <v>93500</v>
      </c>
      <c r="D13" s="175" t="s">
        <v>26</v>
      </c>
      <c r="E13" s="79"/>
      <c r="F13" s="79"/>
    </row>
    <row r="14" spans="1:6" x14ac:dyDescent="0.25">
      <c r="A14" s="79"/>
      <c r="B14" s="84"/>
      <c r="C14" s="93"/>
      <c r="D14" s="86"/>
      <c r="E14" s="79"/>
      <c r="F14" s="79"/>
    </row>
    <row r="15" spans="1:6" x14ac:dyDescent="0.25">
      <c r="A15" s="79"/>
      <c r="B15" s="173" t="s">
        <v>42</v>
      </c>
      <c r="C15" s="174">
        <f>C13-C9</f>
        <v>950</v>
      </c>
      <c r="D15" s="175" t="s">
        <v>28</v>
      </c>
      <c r="E15" s="79"/>
      <c r="F15" s="79"/>
    </row>
    <row r="16" spans="1:6" ht="15.75" thickBot="1" x14ac:dyDescent="0.3">
      <c r="A16" s="79"/>
      <c r="B16" s="176" t="s">
        <v>43</v>
      </c>
      <c r="C16" s="179">
        <f>(SUM(C6:C8)/C13)*100</f>
        <v>8.0748663101604272</v>
      </c>
      <c r="D16" s="178" t="s">
        <v>24</v>
      </c>
      <c r="E16" s="79"/>
      <c r="F16" s="79"/>
    </row>
    <row r="17" spans="1:6" ht="15.75" thickBot="1" x14ac:dyDescent="0.3">
      <c r="A17" s="79"/>
      <c r="B17" s="79"/>
      <c r="C17" s="79"/>
      <c r="D17" s="79"/>
      <c r="E17" s="79"/>
      <c r="F17" s="79"/>
    </row>
    <row r="18" spans="1:6" x14ac:dyDescent="0.25">
      <c r="A18" s="79"/>
      <c r="B18" s="69" t="s">
        <v>157</v>
      </c>
      <c r="C18" s="168"/>
      <c r="D18" s="61"/>
      <c r="E18" s="79"/>
      <c r="F18" s="79"/>
    </row>
    <row r="19" spans="1:6" x14ac:dyDescent="0.25">
      <c r="A19" s="79"/>
      <c r="B19" s="71"/>
      <c r="C19" s="141"/>
      <c r="D19" s="67"/>
      <c r="E19" s="79"/>
      <c r="F19" s="79"/>
    </row>
    <row r="20" spans="1:6" x14ac:dyDescent="0.25">
      <c r="B20" s="91">
        <f>'3. Bedrijvenoverzicht'!C29</f>
        <v>71691</v>
      </c>
      <c r="C20" s="161" t="s">
        <v>92</v>
      </c>
      <c r="D20" s="67"/>
    </row>
    <row r="21" spans="1:6" x14ac:dyDescent="0.25">
      <c r="B21" s="91">
        <f>B20*3.6</f>
        <v>258087.6</v>
      </c>
      <c r="C21" s="161" t="s">
        <v>93</v>
      </c>
      <c r="D21" s="67"/>
    </row>
    <row r="22" spans="1:6" ht="15.75" thickBot="1" x14ac:dyDescent="0.3">
      <c r="B22" s="92">
        <f>0.0005925*B20</f>
        <v>42.476917500000006</v>
      </c>
      <c r="C22" s="169" t="s">
        <v>94</v>
      </c>
      <c r="D22" s="68"/>
    </row>
  </sheetData>
  <sheetProtection password="EA5E" sheet="1" objects="1" scenarios="1"/>
  <hyperlinks>
    <hyperlink ref="F2" location="'0. Startpagina'!A1" display="Ga naar de STARTPAGINA" xr:uid="{00000000-0004-0000-0400-000000000000}"/>
  </hyperlink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autoPageBreaks="0"/>
  </sheetPr>
  <dimension ref="B1:F27"/>
  <sheetViews>
    <sheetView showGridLines="0" zoomScaleNormal="100" workbookViewId="0">
      <selection activeCell="G13" sqref="G13"/>
    </sheetView>
  </sheetViews>
  <sheetFormatPr defaultRowHeight="15" x14ac:dyDescent="0.25"/>
  <cols>
    <col min="1" max="1" width="4.28515625" customWidth="1"/>
    <col min="2" max="2" width="34.42578125" customWidth="1"/>
    <col min="3" max="3" width="14" customWidth="1"/>
    <col min="4" max="4" width="10" customWidth="1"/>
    <col min="5" max="5" width="7" customWidth="1"/>
    <col min="6" max="6" width="28.140625" customWidth="1"/>
  </cols>
  <sheetData>
    <row r="1" spans="2:6" s="58" customFormat="1" ht="15.75" thickBot="1" x14ac:dyDescent="0.3"/>
    <row r="2" spans="2:6" ht="15.75" thickBot="1" x14ac:dyDescent="0.3">
      <c r="B2" s="1" t="s">
        <v>30</v>
      </c>
      <c r="C2" s="2"/>
      <c r="D2" s="3"/>
      <c r="F2" s="133" t="s">
        <v>144</v>
      </c>
    </row>
    <row r="3" spans="2:6" x14ac:dyDescent="0.25">
      <c r="B3" s="4"/>
      <c r="C3" s="5"/>
      <c r="D3" s="6"/>
    </row>
    <row r="4" spans="2:6" x14ac:dyDescent="0.25">
      <c r="B4" s="7" t="s">
        <v>0</v>
      </c>
      <c r="C4" s="5"/>
      <c r="D4" s="6"/>
    </row>
    <row r="5" spans="2:6" x14ac:dyDescent="0.25">
      <c r="B5" s="170" t="s">
        <v>34</v>
      </c>
      <c r="C5" s="171">
        <f>SUM(C6:C10)</f>
        <v>50</v>
      </c>
      <c r="D5" s="172" t="s">
        <v>22</v>
      </c>
    </row>
    <row r="6" spans="2:6" x14ac:dyDescent="0.25">
      <c r="B6" s="8" t="s">
        <v>1</v>
      </c>
      <c r="C6" s="101">
        <f>'1. Gegevens PM en Leverancier'!C5</f>
        <v>4</v>
      </c>
      <c r="D6" s="9" t="s">
        <v>22</v>
      </c>
    </row>
    <row r="7" spans="2:6" x14ac:dyDescent="0.25">
      <c r="B7" s="8" t="s">
        <v>2</v>
      </c>
      <c r="C7" s="101">
        <f>'1. Gegevens PM en Leverancier'!C6</f>
        <v>4</v>
      </c>
      <c r="D7" s="9" t="s">
        <v>22</v>
      </c>
    </row>
    <row r="8" spans="2:6" x14ac:dyDescent="0.25">
      <c r="B8" s="8" t="s">
        <v>3</v>
      </c>
      <c r="C8" s="101">
        <f>'1. Gegevens PM en Leverancier'!C7*'1. Gegevens PM en Leverancier'!C10</f>
        <v>30</v>
      </c>
      <c r="D8" s="9" t="s">
        <v>22</v>
      </c>
    </row>
    <row r="9" spans="2:6" x14ac:dyDescent="0.25">
      <c r="B9" s="8" t="s">
        <v>31</v>
      </c>
      <c r="C9" s="101">
        <f>'1. Gegevens PM en Leverancier'!C8</f>
        <v>4</v>
      </c>
      <c r="D9" s="9" t="s">
        <v>27</v>
      </c>
    </row>
    <row r="10" spans="2:6" x14ac:dyDescent="0.25">
      <c r="B10" s="8" t="s">
        <v>64</v>
      </c>
      <c r="C10" s="101">
        <f>'1. Gegevens PM en Leverancier'!C9</f>
        <v>8</v>
      </c>
      <c r="D10" s="9" t="s">
        <v>22</v>
      </c>
    </row>
    <row r="11" spans="2:6" x14ac:dyDescent="0.25">
      <c r="B11" s="4" t="s">
        <v>160</v>
      </c>
      <c r="C11" s="93">
        <f>C5*'1. Gegevens PM en Leverancier'!C4</f>
        <v>3750</v>
      </c>
      <c r="D11" s="10" t="s">
        <v>26</v>
      </c>
    </row>
    <row r="12" spans="2:6" x14ac:dyDescent="0.25">
      <c r="B12" s="4" t="s">
        <v>4</v>
      </c>
      <c r="C12" s="93">
        <f>'1. Gegevens PM en Leverancier'!C11</f>
        <v>400</v>
      </c>
      <c r="D12" s="10" t="s">
        <v>26</v>
      </c>
    </row>
    <row r="13" spans="2:6" x14ac:dyDescent="0.25">
      <c r="B13" s="173" t="s">
        <v>33</v>
      </c>
      <c r="C13" s="174">
        <f>SUM(C11:C12)</f>
        <v>4150</v>
      </c>
      <c r="D13" s="175" t="s">
        <v>26</v>
      </c>
    </row>
    <row r="14" spans="2:6" x14ac:dyDescent="0.25">
      <c r="B14" s="4"/>
      <c r="C14" s="93"/>
      <c r="D14" s="9"/>
    </row>
    <row r="15" spans="2:6" x14ac:dyDescent="0.25">
      <c r="B15" s="7" t="s">
        <v>9</v>
      </c>
      <c r="C15" s="93"/>
      <c r="D15" s="9"/>
    </row>
    <row r="16" spans="2:6" x14ac:dyDescent="0.25">
      <c r="B16" s="4" t="s">
        <v>32</v>
      </c>
      <c r="C16" s="93">
        <f>'1. Gegevens PM en Leverancier'!C23</f>
        <v>2500</v>
      </c>
      <c r="D16" s="10" t="s">
        <v>26</v>
      </c>
    </row>
    <row r="17" spans="2:4" x14ac:dyDescent="0.25">
      <c r="B17" s="4" t="s">
        <v>111</v>
      </c>
      <c r="C17" s="93">
        <f>'3. Bedrijvenoverzicht'!C28</f>
        <v>1663.75</v>
      </c>
      <c r="D17" s="10" t="s">
        <v>28</v>
      </c>
    </row>
    <row r="18" spans="2:4" x14ac:dyDescent="0.25">
      <c r="B18" s="4" t="s">
        <v>8</v>
      </c>
      <c r="C18" s="93">
        <f>'1. Gegevens PM en Leverancier'!C12</f>
        <v>0</v>
      </c>
      <c r="D18" s="10" t="s">
        <v>28</v>
      </c>
    </row>
    <row r="19" spans="2:4" x14ac:dyDescent="0.25">
      <c r="B19" s="173" t="s">
        <v>6</v>
      </c>
      <c r="C19" s="174">
        <f>SUM(C16:C18)</f>
        <v>4163.75</v>
      </c>
      <c r="D19" s="175" t="s">
        <v>28</v>
      </c>
    </row>
    <row r="20" spans="2:4" x14ac:dyDescent="0.25">
      <c r="B20" s="4"/>
      <c r="C20" s="93"/>
      <c r="D20" s="9"/>
    </row>
    <row r="21" spans="2:4" ht="15.75" thickBot="1" x14ac:dyDescent="0.3">
      <c r="B21" s="176" t="s">
        <v>7</v>
      </c>
      <c r="C21" s="177">
        <f>C19-C13</f>
        <v>13.75</v>
      </c>
      <c r="D21" s="178" t="s">
        <v>26</v>
      </c>
    </row>
    <row r="22" spans="2:4" ht="15.75" thickBot="1" x14ac:dyDescent="0.3"/>
    <row r="23" spans="2:4" x14ac:dyDescent="0.25">
      <c r="B23" s="69" t="s">
        <v>157</v>
      </c>
      <c r="C23" s="168"/>
      <c r="D23" s="61"/>
    </row>
    <row r="24" spans="2:4" x14ac:dyDescent="0.25">
      <c r="B24" s="71"/>
      <c r="C24" s="141"/>
      <c r="D24" s="67"/>
    </row>
    <row r="25" spans="2:4" x14ac:dyDescent="0.25">
      <c r="B25" s="91">
        <f>'3. Bedrijvenoverzicht'!C29</f>
        <v>71691</v>
      </c>
      <c r="C25" s="161" t="s">
        <v>92</v>
      </c>
      <c r="D25" s="67"/>
    </row>
    <row r="26" spans="2:4" x14ac:dyDescent="0.25">
      <c r="B26" s="91">
        <f>B25*3.6</f>
        <v>258087.6</v>
      </c>
      <c r="C26" s="161" t="s">
        <v>93</v>
      </c>
      <c r="D26" s="67"/>
    </row>
    <row r="27" spans="2:4" ht="15.75" thickBot="1" x14ac:dyDescent="0.3">
      <c r="B27" s="92">
        <f>0.0005925*B25</f>
        <v>42.476917500000006</v>
      </c>
      <c r="C27" s="169" t="s">
        <v>94</v>
      </c>
      <c r="D27" s="68"/>
    </row>
  </sheetData>
  <sheetProtection password="EA5E" sheet="1" objects="1" scenarios="1"/>
  <hyperlinks>
    <hyperlink ref="F2" location="'0. Startpagina'!A1" display="GA NAAR DE STARTPAGINA" xr:uid="{00000000-0004-0000-0500-000000000000}"/>
  </hyperlink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F2687733A287E4A94E2887D61263313" ma:contentTypeVersion="16" ma:contentTypeDescription="Skapa ett nytt dokument." ma:contentTypeScope="" ma:versionID="b0cde0569e68cd5fbfcd320a7fec12d9">
  <xsd:schema xmlns:xsd="http://www.w3.org/2001/XMLSchema" xmlns:xs="http://www.w3.org/2001/XMLSchema" xmlns:p="http://schemas.microsoft.com/office/2006/metadata/properties" xmlns:ns2="d713b90b-5d21-4926-a72f-7b900ab12af6" xmlns:ns3="8fc34577-6786-4b00-b3f8-060776f73962" targetNamespace="http://schemas.microsoft.com/office/2006/metadata/properties" ma:root="true" ma:fieldsID="d37b39a98a1b0822db0b1b886e786ae0" ns2:_="" ns3:_="">
    <xsd:import namespace="d713b90b-5d21-4926-a72f-7b900ab12af6"/>
    <xsd:import namespace="8fc34577-6786-4b00-b3f8-060776f7396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13b90b-5d21-4926-a72f-7b900ab12a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eringar" ma:readOnly="false" ma:fieldId="{5cf76f15-5ced-4ddc-b409-7134ff3c332f}" ma:taxonomyMulti="true" ma:sspId="0673cd2f-ce6e-4ea0-afbc-30713b89691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fc34577-6786-4b00-b3f8-060776f73962" elementFormDefault="qualified">
    <xsd:import namespace="http://schemas.microsoft.com/office/2006/documentManagement/types"/>
    <xsd:import namespace="http://schemas.microsoft.com/office/infopath/2007/PartnerControls"/>
    <xsd:element name="SharedWithUsers" ma:index="16" nillable="true" ma:displayName="Dela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at med information" ma:internalName="SharedWithDetails" ma:readOnly="true">
      <xsd:simpleType>
        <xsd:restriction base="dms:Note">
          <xsd:maxLength value="255"/>
        </xsd:restriction>
      </xsd:simpleType>
    </xsd:element>
    <xsd:element name="TaxCatchAll" ma:index="23" nillable="true" ma:displayName="Taxonomy Catch All Column" ma:hidden="true" ma:list="{6ace7b21-a9a2-420a-903e-70ed5306e59b}" ma:internalName="TaxCatchAll" ma:showField="CatchAllData" ma:web="8fc34577-6786-4b00-b3f8-060776f739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fc34577-6786-4b00-b3f8-060776f73962" xsi:nil="true"/>
    <lcf76f155ced4ddcb4097134ff3c332f xmlns="d713b90b-5d21-4926-a72f-7b900ab12a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C78303A-7BD8-452C-8D7D-A34E605F3017}"/>
</file>

<file path=customXml/itemProps2.xml><?xml version="1.0" encoding="utf-8"?>
<ds:datastoreItem xmlns:ds="http://schemas.openxmlformats.org/officeDocument/2006/customXml" ds:itemID="{3363CE56-03EE-4203-A23F-9B9202ED635E}"/>
</file>

<file path=customXml/itemProps3.xml><?xml version="1.0" encoding="utf-8"?>
<ds:datastoreItem xmlns:ds="http://schemas.openxmlformats.org/officeDocument/2006/customXml" ds:itemID="{59E1F021-1FC4-4502-83F0-88FBDAACB3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0. Startpagina</vt:lpstr>
      <vt:lpstr>1. Gegevens PM en Leverancier</vt:lpstr>
      <vt:lpstr>2. BC Bedrijf</vt:lpstr>
      <vt:lpstr>3. Bedrijvenoverzicht</vt:lpstr>
      <vt:lpstr>4. BC Leverancier</vt:lpstr>
      <vt:lpstr>5. BC Parkmanager</vt:lpstr>
    </vt:vector>
  </TitlesOfParts>
  <Company>TNO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Roosmarijn Goldbach</dc:creator>
  <cp:lastModifiedBy>Bonenkamp, N.E.J. (Noortje)</cp:lastModifiedBy>
  <dcterms:created xsi:type="dcterms:W3CDTF">2016-05-12T07:56:58Z</dcterms:created>
  <dcterms:modified xsi:type="dcterms:W3CDTF">2022-02-18T10:10:41Z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0x0101009F2687733A287E4A94E2887D61263313</vt:lpwstr>
  </property>
</Properties>
</file>