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theme/themeOverride1.xml" ContentType="application/vnd.openxmlformats-officedocument.themeOverride+xml"/>
  <Override PartName="/xl/charts/chart1.xml" ContentType="application/vnd.openxmlformats-officedocument.drawingml.chart+xml"/>
  <Override PartName="/xl/drawings/drawing2.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comments2.xml" ContentType="application/vnd.openxmlformats-officedocument.spreadsheetml.comments+xml"/>
  <Override PartName="/xl/comments1.xml" ContentType="application/vnd.openxmlformats-officedocument.spreadsheetml.comments+xml"/>
  <Override PartName="/docProps/core.xml" ContentType="application/vnd.openxmlformats-package.core-propertie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70" windowWidth="19740" windowHeight="7755"/>
  </bookViews>
  <sheets>
    <sheet name="0. Startpagina" sheetId="7" r:id="rId1"/>
    <sheet name="1. BC Gebiedsesco" sheetId="6" r:id="rId2"/>
    <sheet name="2. BC Bedrijf" sheetId="5" r:id="rId3"/>
    <sheet name="3. BC Parkmanager" sheetId="1" r:id="rId4"/>
  </sheets>
  <calcPr calcId="145621"/>
</workbook>
</file>

<file path=xl/calcChain.xml><?xml version="1.0" encoding="utf-8"?>
<calcChain xmlns="http://schemas.openxmlformats.org/spreadsheetml/2006/main">
  <c r="D22" i="1" l="1"/>
  <c r="C22" i="1"/>
  <c r="C20" i="1"/>
  <c r="B35" i="5" l="1"/>
  <c r="C15" i="5"/>
  <c r="C14" i="5"/>
  <c r="C13" i="5"/>
  <c r="C12" i="5"/>
  <c r="C21" i="5" l="1"/>
  <c r="H41" i="6" l="1"/>
  <c r="I33" i="6"/>
  <c r="H33" i="6"/>
  <c r="S27" i="6"/>
  <c r="R27" i="6"/>
  <c r="M27" i="6"/>
  <c r="N27" i="6"/>
  <c r="O27" i="6"/>
  <c r="P27" i="6"/>
  <c r="Q27" i="6"/>
  <c r="L27" i="6"/>
  <c r="K27" i="6"/>
  <c r="J27" i="6"/>
  <c r="I27" i="6"/>
  <c r="H27" i="6"/>
  <c r="I23" i="6"/>
  <c r="I22" i="6"/>
  <c r="I19" i="6"/>
  <c r="I18" i="6"/>
  <c r="I14" i="6"/>
  <c r="I9" i="6"/>
  <c r="I8" i="6"/>
  <c r="I6" i="6"/>
  <c r="H9" i="6"/>
  <c r="E27" i="1" l="1"/>
  <c r="F27" i="1"/>
  <c r="G27" i="1"/>
  <c r="I27" i="1"/>
  <c r="J27" i="1"/>
  <c r="K27" i="1"/>
  <c r="M27" i="1"/>
  <c r="N27" i="1"/>
  <c r="E26" i="1"/>
  <c r="F26" i="1"/>
  <c r="G26" i="1"/>
  <c r="H26" i="1"/>
  <c r="H27" i="1" s="1"/>
  <c r="I26" i="1"/>
  <c r="J26" i="1"/>
  <c r="K26" i="1"/>
  <c r="L26" i="1"/>
  <c r="L27" i="1" s="1"/>
  <c r="M26" i="1"/>
  <c r="N26" i="1"/>
  <c r="D26" i="1"/>
  <c r="D27" i="1" s="1"/>
  <c r="C26" i="1"/>
  <c r="C27" i="1" s="1"/>
  <c r="E22" i="1"/>
  <c r="F22" i="1"/>
  <c r="G22" i="1"/>
  <c r="H22" i="1"/>
  <c r="I22" i="1"/>
  <c r="J22" i="1"/>
  <c r="K22" i="1"/>
  <c r="L22" i="1"/>
  <c r="M22" i="1"/>
  <c r="N22" i="1"/>
  <c r="D21" i="1"/>
  <c r="E21" i="1"/>
  <c r="F21" i="1"/>
  <c r="G21" i="1"/>
  <c r="H21" i="1"/>
  <c r="I21" i="1"/>
  <c r="J21" i="1"/>
  <c r="K21" i="1"/>
  <c r="L21" i="1"/>
  <c r="M21" i="1"/>
  <c r="N21" i="1"/>
  <c r="C21" i="1"/>
  <c r="M7" i="6"/>
  <c r="N7" i="6"/>
  <c r="O7" i="6"/>
  <c r="P7" i="6"/>
  <c r="Q7" i="6"/>
  <c r="R7" i="6"/>
  <c r="S7" i="6"/>
  <c r="L7" i="6"/>
  <c r="K7" i="6"/>
  <c r="J7" i="6"/>
  <c r="I7" i="6"/>
  <c r="H7" i="6"/>
  <c r="M6" i="6"/>
  <c r="M14" i="6" s="1"/>
  <c r="M40" i="6" s="1"/>
  <c r="N6" i="6"/>
  <c r="N14" i="6" s="1"/>
  <c r="N40" i="6" s="1"/>
  <c r="O6" i="6"/>
  <c r="O14" i="6" s="1"/>
  <c r="O40" i="6" s="1"/>
  <c r="P6" i="6"/>
  <c r="P18" i="6" s="1"/>
  <c r="Q6" i="6"/>
  <c r="Q14" i="6" s="1"/>
  <c r="Q40" i="6" s="1"/>
  <c r="R6" i="6"/>
  <c r="R14" i="6" s="1"/>
  <c r="R40" i="6" s="1"/>
  <c r="S6" i="6"/>
  <c r="L6" i="6"/>
  <c r="K6" i="6"/>
  <c r="K14" i="6" s="1"/>
  <c r="K40" i="6" s="1"/>
  <c r="J6" i="6"/>
  <c r="H6" i="6"/>
  <c r="H19" i="6" s="1"/>
  <c r="H13" i="6"/>
  <c r="C23" i="1" l="1"/>
  <c r="C29" i="1" s="1"/>
  <c r="C30" i="1" s="1"/>
  <c r="K23" i="1"/>
  <c r="K29" i="1" s="1"/>
  <c r="G23" i="1"/>
  <c r="G29" i="1" s="1"/>
  <c r="N23" i="1"/>
  <c r="N29" i="1" s="1"/>
  <c r="J23" i="1"/>
  <c r="J29" i="1" s="1"/>
  <c r="F23" i="1"/>
  <c r="F29" i="1" s="1"/>
  <c r="M23" i="1"/>
  <c r="M29" i="1" s="1"/>
  <c r="I23" i="1"/>
  <c r="I29" i="1" s="1"/>
  <c r="E23" i="1"/>
  <c r="E29" i="1" s="1"/>
  <c r="L23" i="1"/>
  <c r="L29" i="1" s="1"/>
  <c r="H23" i="1"/>
  <c r="H29" i="1" s="1"/>
  <c r="D23" i="1"/>
  <c r="D29" i="1" s="1"/>
  <c r="H18" i="6"/>
  <c r="P14" i="6"/>
  <c r="P40" i="6" s="1"/>
  <c r="S14" i="6"/>
  <c r="S40" i="6" s="1"/>
  <c r="J14" i="6"/>
  <c r="J40" i="6" s="1"/>
  <c r="L14" i="6"/>
  <c r="L40" i="6" s="1"/>
  <c r="I40" i="6"/>
  <c r="H14" i="6"/>
  <c r="J18" i="6"/>
  <c r="K18" i="6"/>
  <c r="L18" i="6"/>
  <c r="M18" i="6"/>
  <c r="N18" i="6"/>
  <c r="O18" i="6"/>
  <c r="Q18" i="6"/>
  <c r="R18" i="6"/>
  <c r="S18" i="6"/>
  <c r="H8" i="6"/>
  <c r="D30" i="1" l="1"/>
  <c r="E30" i="1" s="1"/>
  <c r="F30" i="1" s="1"/>
  <c r="G30" i="1" s="1"/>
  <c r="H30" i="1" s="1"/>
  <c r="I30" i="1" s="1"/>
  <c r="J30" i="1" s="1"/>
  <c r="K30" i="1" s="1"/>
  <c r="L30" i="1" s="1"/>
  <c r="M30" i="1" s="1"/>
  <c r="N30" i="1" s="1"/>
  <c r="H40" i="6"/>
  <c r="H34" i="6"/>
  <c r="T19" i="6"/>
  <c r="H21" i="6"/>
  <c r="H20" i="6"/>
  <c r="L13" i="6"/>
  <c r="K13" i="6"/>
  <c r="J13" i="6"/>
  <c r="I13" i="6"/>
  <c r="L8" i="6"/>
  <c r="K8" i="6"/>
  <c r="J8" i="6"/>
  <c r="T9" i="6"/>
  <c r="S21" i="6"/>
  <c r="S20" i="6"/>
  <c r="S19" i="6"/>
  <c r="C28" i="5"/>
  <c r="C24" i="5"/>
  <c r="C22" i="5"/>
  <c r="C23" i="5"/>
  <c r="T14" i="6" l="1"/>
  <c r="C25" i="5"/>
  <c r="J33" i="6"/>
  <c r="K33" i="6" s="1"/>
  <c r="H22" i="6"/>
  <c r="T28" i="6"/>
  <c r="H23" i="6"/>
  <c r="R21" i="6" l="1"/>
  <c r="R20" i="6"/>
  <c r="R19" i="6"/>
  <c r="L21" i="6"/>
  <c r="L20" i="6"/>
  <c r="L19" i="6"/>
  <c r="P21" i="6"/>
  <c r="P20" i="6"/>
  <c r="P19" i="6"/>
  <c r="I21" i="6"/>
  <c r="I20" i="6"/>
  <c r="M21" i="6"/>
  <c r="M20" i="6"/>
  <c r="M19" i="6"/>
  <c r="J21" i="6"/>
  <c r="J19" i="6"/>
  <c r="J20" i="6"/>
  <c r="N19" i="6"/>
  <c r="N21" i="6"/>
  <c r="N20" i="6"/>
  <c r="K19" i="6"/>
  <c r="K21" i="6"/>
  <c r="K20" i="6"/>
  <c r="O19" i="6"/>
  <c r="O21" i="6"/>
  <c r="O20" i="6"/>
  <c r="Q21" i="6"/>
  <c r="Q20" i="6"/>
  <c r="Q19" i="6"/>
  <c r="B36" i="5"/>
  <c r="J15" i="6" l="1"/>
  <c r="J34" i="6"/>
  <c r="S15" i="6"/>
  <c r="S34" i="6"/>
  <c r="I15" i="6"/>
  <c r="I25" i="6" s="1"/>
  <c r="I34" i="6"/>
  <c r="N15" i="6"/>
  <c r="N34" i="6"/>
  <c r="I26" i="6"/>
  <c r="I28" i="6" s="1"/>
  <c r="M15" i="6"/>
  <c r="M34" i="6"/>
  <c r="K15" i="6"/>
  <c r="K34" i="6"/>
  <c r="H15" i="6"/>
  <c r="P15" i="6"/>
  <c r="P34" i="6"/>
  <c r="R15" i="6"/>
  <c r="R34" i="6"/>
  <c r="Q15" i="6"/>
  <c r="Q34" i="6"/>
  <c r="O15" i="6"/>
  <c r="O34" i="6"/>
  <c r="L15" i="6"/>
  <c r="L34" i="6"/>
  <c r="L33" i="6"/>
  <c r="M33" i="6" s="1"/>
  <c r="N33" i="6" s="1"/>
  <c r="B37" i="5"/>
  <c r="H25" i="6" l="1"/>
  <c r="H26" i="6" s="1"/>
  <c r="H28" i="6" s="1"/>
  <c r="H29" i="6" s="1"/>
  <c r="O33" i="6"/>
  <c r="P33" i="6" s="1"/>
  <c r="Q33" i="6" s="1"/>
  <c r="R33" i="6" s="1"/>
  <c r="S33" i="6" s="1"/>
  <c r="I41" i="6"/>
  <c r="J9" i="6"/>
  <c r="C29" i="5"/>
  <c r="C31" i="5" s="1"/>
  <c r="H35" i="6" l="1"/>
  <c r="H36" i="6" s="1"/>
  <c r="H42" i="6" s="1"/>
  <c r="H39" i="6" s="1"/>
  <c r="I29" i="6"/>
  <c r="I35" i="6"/>
  <c r="I36" i="6" s="1"/>
  <c r="I42" i="6" s="1"/>
  <c r="I39" i="6" s="1"/>
  <c r="J41" i="6"/>
  <c r="J22" i="6"/>
  <c r="J23" i="6" s="1"/>
  <c r="J25" i="6" s="1"/>
  <c r="J26" i="6" s="1"/>
  <c r="J28" i="6" s="1"/>
  <c r="K9" i="6"/>
  <c r="K22" i="6" s="1"/>
  <c r="J29" i="6" l="1"/>
  <c r="J35" i="6" s="1"/>
  <c r="J36" i="6" s="1"/>
  <c r="J42" i="6" s="1"/>
  <c r="J39" i="6" s="1"/>
  <c r="K41" i="6"/>
  <c r="L9" i="6"/>
  <c r="L22" i="6" s="1"/>
  <c r="K23" i="6"/>
  <c r="K25" i="6" s="1"/>
  <c r="K26" i="6" s="1"/>
  <c r="K28" i="6" s="1"/>
  <c r="K29" i="6" l="1"/>
  <c r="K35" i="6" s="1"/>
  <c r="K36" i="6" s="1"/>
  <c r="K42" i="6" s="1"/>
  <c r="K39" i="6" s="1"/>
  <c r="L23" i="6"/>
  <c r="L25" i="6" s="1"/>
  <c r="L26" i="6" s="1"/>
  <c r="L28" i="6" s="1"/>
  <c r="L41" i="6"/>
  <c r="M9" i="6"/>
  <c r="M22" i="6" s="1"/>
  <c r="L29" i="6" l="1"/>
  <c r="L35" i="6" s="1"/>
  <c r="L36" i="6" s="1"/>
  <c r="L42" i="6" s="1"/>
  <c r="L39" i="6" s="1"/>
  <c r="M23" i="6"/>
  <c r="M25" i="6" s="1"/>
  <c r="M26" i="6" s="1"/>
  <c r="M28" i="6" s="1"/>
  <c r="M41" i="6"/>
  <c r="N9" i="6"/>
  <c r="N22" i="6" s="1"/>
  <c r="M29" i="6" l="1"/>
  <c r="M35" i="6" s="1"/>
  <c r="M36" i="6" s="1"/>
  <c r="M42" i="6" s="1"/>
  <c r="M39" i="6" s="1"/>
  <c r="N23" i="6"/>
  <c r="N25" i="6" s="1"/>
  <c r="N26" i="6" s="1"/>
  <c r="N28" i="6" s="1"/>
  <c r="N41" i="6"/>
  <c r="O9" i="6"/>
  <c r="N29" i="6" l="1"/>
  <c r="N35" i="6" s="1"/>
  <c r="N36" i="6" s="1"/>
  <c r="N42" i="6" s="1"/>
  <c r="N39" i="6" s="1"/>
  <c r="O41" i="6"/>
  <c r="O22" i="6"/>
  <c r="O23" i="6" s="1"/>
  <c r="O25" i="6" s="1"/>
  <c r="O26" i="6" s="1"/>
  <c r="O28" i="6" s="1"/>
  <c r="P9" i="6"/>
  <c r="O29" i="6" l="1"/>
  <c r="O35" i="6" s="1"/>
  <c r="O36" i="6" s="1"/>
  <c r="O42" i="6" s="1"/>
  <c r="O39" i="6" s="1"/>
  <c r="P41" i="6"/>
  <c r="P22" i="6"/>
  <c r="P23" i="6" s="1"/>
  <c r="P25" i="6" s="1"/>
  <c r="P26" i="6" s="1"/>
  <c r="P28" i="6" s="1"/>
  <c r="Q9" i="6"/>
  <c r="Q22" i="6" s="1"/>
  <c r="P29" i="6" l="1"/>
  <c r="P35" i="6" s="1"/>
  <c r="P36" i="6" s="1"/>
  <c r="P42" i="6" s="1"/>
  <c r="P39" i="6" s="1"/>
  <c r="Q23" i="6"/>
  <c r="Q25" i="6" s="1"/>
  <c r="Q26" i="6" s="1"/>
  <c r="Q28" i="6" s="1"/>
  <c r="Q41" i="6"/>
  <c r="R9" i="6"/>
  <c r="Q29" i="6" l="1"/>
  <c r="Q35" i="6" s="1"/>
  <c r="Q36" i="6" s="1"/>
  <c r="Q42" i="6" s="1"/>
  <c r="Q39" i="6" s="1"/>
  <c r="R41" i="6"/>
  <c r="R22" i="6"/>
  <c r="R23" i="6" s="1"/>
  <c r="R25" i="6" s="1"/>
  <c r="R26" i="6" s="1"/>
  <c r="R28" i="6" s="1"/>
  <c r="S9" i="6"/>
  <c r="S41" i="6" s="1"/>
  <c r="R29" i="6" l="1"/>
  <c r="R35" i="6" s="1"/>
  <c r="R36" i="6" s="1"/>
  <c r="R42" i="6" s="1"/>
  <c r="R39" i="6" s="1"/>
  <c r="S22" i="6"/>
  <c r="S23" i="6" s="1"/>
  <c r="S25" i="6" s="1"/>
  <c r="S26" i="6" s="1"/>
  <c r="S28" i="6" s="1"/>
  <c r="S29" i="6" l="1"/>
  <c r="S35" i="6" s="1"/>
  <c r="S36" i="6" s="1"/>
  <c r="S42" i="6" s="1"/>
  <c r="S39" i="6" s="1"/>
</calcChain>
</file>

<file path=xl/comments1.xml><?xml version="1.0" encoding="utf-8"?>
<comments xmlns="http://schemas.openxmlformats.org/spreadsheetml/2006/main">
  <authors>
    <author>Roosmarijn Goldbach</author>
  </authors>
  <commentList>
    <comment ref="B21" authorId="0">
      <text>
        <r>
          <rPr>
            <b/>
            <sz val="9"/>
            <color indexed="81"/>
            <rFont val="Tahoma"/>
            <family val="2"/>
          </rPr>
          <t>Roosmarijn Goldbach:</t>
        </r>
        <r>
          <rPr>
            <sz val="9"/>
            <color indexed="81"/>
            <rFont val="Tahoma"/>
            <family val="2"/>
          </rPr>
          <t xml:space="preserve">
Voorbeeldopmerking. </t>
        </r>
      </text>
    </comment>
  </commentList>
</comments>
</file>

<file path=xl/comments2.xml><?xml version="1.0" encoding="utf-8"?>
<comments xmlns="http://schemas.openxmlformats.org/spreadsheetml/2006/main">
  <authors>
    <author>Roosmarijn Goldbach</author>
  </authors>
  <commentList>
    <comment ref="B4" authorId="0">
      <text>
        <r>
          <rPr>
            <b/>
            <sz val="9"/>
            <color indexed="81"/>
            <rFont val="Tahoma"/>
            <family val="2"/>
          </rPr>
          <t>Roosmarijn Goldbach:</t>
        </r>
        <r>
          <rPr>
            <sz val="9"/>
            <color indexed="81"/>
            <rFont val="Tahoma"/>
            <family val="2"/>
          </rPr>
          <t xml:space="preserve">
Toelichting: Om de toepasbaarheid van deze business case tool zo groot mogelijk te maken gaan we hier uit van twee algemene maatregelen A en B. Omdat hier de gemiddelde investering en looptijd van het contract ingevuld kunnen worden, kan zo iedere maatregel gemodelleerd worden. 
NB:
1) Als de gebiedsesco slechts een maatregel faciliteert, kan bij maatregel B in het overzicht van de projecten overal nul ingevuld worden.
2) Voor de overzichtelijkheid is aangenomen dat de gebiedsesco niet meer dan twee maatregelen faciliteert. </t>
        </r>
      </text>
    </comment>
    <comment ref="G8" authorId="0">
      <text>
        <r>
          <rPr>
            <b/>
            <sz val="9"/>
            <color indexed="81"/>
            <rFont val="Tahoma"/>
            <family val="2"/>
          </rPr>
          <t>Roosmarijn Goldbach:</t>
        </r>
        <r>
          <rPr>
            <sz val="9"/>
            <color indexed="81"/>
            <rFont val="Tahoma"/>
            <family val="2"/>
          </rPr>
          <t xml:space="preserve">
Aanname: Het geld dat daadwerkelijk nodig is voor de investering bedraagt 97,5% van wat aan de klant wordt doorberekend. </t>
        </r>
      </text>
    </comment>
    <comment ref="B9" authorId="0">
      <text>
        <r>
          <rPr>
            <b/>
            <sz val="9"/>
            <color indexed="81"/>
            <rFont val="Tahoma"/>
            <family val="2"/>
          </rPr>
          <t>Roosmarijn Goldbach:</t>
        </r>
        <r>
          <rPr>
            <sz val="9"/>
            <color indexed="81"/>
            <rFont val="Tahoma"/>
            <family val="2"/>
          </rPr>
          <t xml:space="preserve">
Toelichting: Dit betreft de rente die aan de klant wordt doorberekend. </t>
        </r>
      </text>
    </comment>
    <comment ref="G9" authorId="0">
      <text>
        <r>
          <rPr>
            <b/>
            <sz val="9"/>
            <color indexed="81"/>
            <rFont val="Tahoma"/>
            <family val="2"/>
          </rPr>
          <t>Roosmarijn Goldbach:</t>
        </r>
        <r>
          <rPr>
            <sz val="9"/>
            <color indexed="81"/>
            <rFont val="Tahoma"/>
            <family val="2"/>
          </rPr>
          <t xml:space="preserve">
Aanname: Er is sprake van een lineaire lening van de bank (en/of investeerders).</t>
        </r>
      </text>
    </comment>
    <comment ref="B13" authorId="0">
      <text>
        <r>
          <rPr>
            <b/>
            <sz val="9"/>
            <color indexed="81"/>
            <rFont val="Tahoma"/>
            <family val="2"/>
          </rPr>
          <t>Roosmarijn Goldbach:</t>
        </r>
        <r>
          <rPr>
            <sz val="9"/>
            <color indexed="81"/>
            <rFont val="Tahoma"/>
            <family val="2"/>
          </rPr>
          <t xml:space="preserve">
Toelichting: Dit betreft de rentelasten die de gebiedsesco aan de bank (en/of investeerders) moet betalen. </t>
        </r>
      </text>
    </comment>
    <comment ref="G14" authorId="0">
      <text>
        <r>
          <rPr>
            <b/>
            <sz val="9"/>
            <color indexed="81"/>
            <rFont val="Tahoma"/>
            <family val="2"/>
          </rPr>
          <t>Roosmarijn Goldbach:</t>
        </r>
        <r>
          <rPr>
            <sz val="9"/>
            <color indexed="81"/>
            <rFont val="Tahoma"/>
            <family val="2"/>
          </rPr>
          <t xml:space="preserve">
Aanname: Er is sprake van een annuitaire aflossing door de klanten van de gebiesesco. </t>
        </r>
      </text>
    </comment>
    <comment ref="G19" authorId="0">
      <text>
        <r>
          <rPr>
            <b/>
            <sz val="9"/>
            <color indexed="81"/>
            <rFont val="Tahoma"/>
            <family val="2"/>
          </rPr>
          <t>Roosmarijn Goldbach:</t>
        </r>
        <r>
          <rPr>
            <sz val="9"/>
            <color indexed="81"/>
            <rFont val="Tahoma"/>
            <family val="2"/>
          </rPr>
          <t xml:space="preserve">
Aanname: De daadwerkelijke verzekeringskosten bedragen 80% van het bedrag dat de klant hiervoor betaalt. </t>
        </r>
      </text>
    </comment>
    <comment ref="G20" authorId="0">
      <text>
        <r>
          <rPr>
            <b/>
            <sz val="9"/>
            <color indexed="81"/>
            <rFont val="Tahoma"/>
            <family val="2"/>
          </rPr>
          <t>Roosmarijn Goldbach:</t>
        </r>
        <r>
          <rPr>
            <sz val="9"/>
            <color indexed="81"/>
            <rFont val="Tahoma"/>
            <family val="2"/>
          </rPr>
          <t xml:space="preserve">
Aanname: De daadwerkelijke onderhoudskosten bedragen 80% van het bedrag dat de klant hiervoor betaalt. </t>
        </r>
      </text>
    </comment>
    <comment ref="G21" authorId="0">
      <text>
        <r>
          <rPr>
            <b/>
            <sz val="9"/>
            <color indexed="81"/>
            <rFont val="Tahoma"/>
            <family val="2"/>
          </rPr>
          <t>Roosmarijn Goldbach:</t>
        </r>
        <r>
          <rPr>
            <sz val="9"/>
            <color indexed="81"/>
            <rFont val="Tahoma"/>
            <family val="2"/>
          </rPr>
          <t xml:space="preserve">
Aanname: De daadwerkelijke managementkosten bedragen 80% van het bedrag dat de klant hiervoor betaalt. </t>
        </r>
      </text>
    </comment>
    <comment ref="G27" authorId="0">
      <text>
        <r>
          <rPr>
            <b/>
            <sz val="9"/>
            <color indexed="81"/>
            <rFont val="Tahoma"/>
            <family val="2"/>
          </rPr>
          <t>Roosmarijn Goldbach:</t>
        </r>
        <r>
          <rPr>
            <sz val="9"/>
            <color indexed="81"/>
            <rFont val="Tahoma"/>
            <family val="2"/>
          </rPr>
          <t xml:space="preserve">
Aanname: Er is sprake van een lineaire lening van de bank (en/of investeerders).</t>
        </r>
      </text>
    </comment>
  </commentList>
</comments>
</file>

<file path=xl/comments3.xml><?xml version="1.0" encoding="utf-8"?>
<comments xmlns="http://schemas.openxmlformats.org/spreadsheetml/2006/main">
  <authors>
    <author>Roosmarijn Goldbach</author>
  </authors>
  <commentList>
    <comment ref="B21" authorId="0">
      <text>
        <r>
          <rPr>
            <b/>
            <sz val="9"/>
            <color indexed="81"/>
            <rFont val="Tahoma"/>
            <family val="2"/>
          </rPr>
          <t>Roosmarijn Goldbach:</t>
        </r>
        <r>
          <rPr>
            <sz val="9"/>
            <color indexed="81"/>
            <rFont val="Tahoma"/>
            <family val="2"/>
          </rPr>
          <t xml:space="preserve">
Aanname: Er is sprake van een annuitaire afossing. </t>
        </r>
      </text>
    </comment>
    <comment ref="B37" authorId="0">
      <text>
        <r>
          <rPr>
            <b/>
            <sz val="9"/>
            <color indexed="81"/>
            <rFont val="Tahoma"/>
            <family val="2"/>
          </rPr>
          <t>Roosmarijn Goldbach:</t>
        </r>
        <r>
          <rPr>
            <sz val="9"/>
            <color indexed="81"/>
            <rFont val="Tahoma"/>
            <family val="2"/>
          </rPr>
          <t xml:space="preserve">
Aanname: De bespaarde hoeveel CO2 is uitgerekend door de energiebesparing in kWh te vermenigvuldigen met 0,0005925. Dit getal is ontleend aan de EPA eGRID emissietabellen.</t>
        </r>
      </text>
    </comment>
  </commentList>
</comments>
</file>

<file path=xl/comments4.xml><?xml version="1.0" encoding="utf-8"?>
<comments xmlns="http://schemas.openxmlformats.org/spreadsheetml/2006/main">
  <authors>
    <author>Roosmarijn Goldbach</author>
  </authors>
  <commentList>
    <comment ref="B30" authorId="0">
      <text>
        <r>
          <rPr>
            <b/>
            <sz val="9"/>
            <color indexed="81"/>
            <rFont val="Tahoma"/>
            <family val="2"/>
          </rPr>
          <t>Roosmarijn Goldbach:</t>
        </r>
        <r>
          <rPr>
            <sz val="9"/>
            <color indexed="81"/>
            <rFont val="Tahoma"/>
            <family val="2"/>
          </rPr>
          <t xml:space="preserve">
Toelichting: Het cumulatief saldo zal in de beginjaren negatief zijn. Hier hoeft de parkmanager zich niet druk om te maken. Het betreft namelijk uren die de parkmanager aan de voorkant van het proces in de gebiedsesco heeft gestoken, maar die nog niet zijn uitbetaald. Het is dus GEEN direct verlies in euro's. Wanneer het cumulatief saldo voor het eerst positief wordt, heeft de parkmanager zijn tijdsinvestering eruit. Vanaf dan maakt hij winst. </t>
        </r>
      </text>
    </comment>
  </commentList>
</comments>
</file>

<file path=xl/sharedStrings.xml><?xml version="1.0" encoding="utf-8"?>
<sst xmlns="http://schemas.openxmlformats.org/spreadsheetml/2006/main" count="167" uniqueCount="124">
  <si>
    <t>Uurtarief</t>
  </si>
  <si>
    <t xml:space="preserve">euro </t>
  </si>
  <si>
    <t>uur</t>
  </si>
  <si>
    <t xml:space="preserve">uur </t>
  </si>
  <si>
    <t>stuks</t>
  </si>
  <si>
    <t>euro</t>
  </si>
  <si>
    <t>%</t>
  </si>
  <si>
    <t>Uurbesteding - selectie van potentieel geïnteresseerde bedrijven</t>
  </si>
  <si>
    <t xml:space="preserve">Uurbesteding - per bedrijfsbezoek </t>
  </si>
  <si>
    <t>Aantal bedrijfsbezoeken</t>
  </si>
  <si>
    <t>Looptijd contract</t>
  </si>
  <si>
    <t>BENODIGDE GEGEVENS VAN HET BEDRIJF</t>
  </si>
  <si>
    <t>Elektriciteitskosten per kWh</t>
  </si>
  <si>
    <t>BUSINESS CASE BEDRIJF</t>
  </si>
  <si>
    <t>Kosten</t>
  </si>
  <si>
    <t>Baten</t>
  </si>
  <si>
    <t>euro per jaar</t>
  </si>
  <si>
    <t>kWh per jaar</t>
  </si>
  <si>
    <t>Voorbereiding</t>
  </si>
  <si>
    <t>BUSINESS CASE PARKMANAGER</t>
  </si>
  <si>
    <t>BENODIGDE GEGEVENS PARKMANAGER</t>
  </si>
  <si>
    <t>Huur, reis- en materiaalkosten</t>
  </si>
  <si>
    <t>Totale kosten</t>
  </si>
  <si>
    <t>Saldo</t>
  </si>
  <si>
    <t>Totale baten</t>
  </si>
  <si>
    <t>Overig</t>
  </si>
  <si>
    <t>jaar</t>
  </si>
  <si>
    <t>Uurbesteding - investeerders zoeken</t>
  </si>
  <si>
    <t>MILIEUWINST DOOR BEDRIJF</t>
  </si>
  <si>
    <t xml:space="preserve">MJ per jaar </t>
  </si>
  <si>
    <t>ton CO2 per jaar</t>
  </si>
  <si>
    <t>kWh</t>
  </si>
  <si>
    <t xml:space="preserve">Besparing op energierekening </t>
  </si>
  <si>
    <t>Rente gevraagd door fonds</t>
  </si>
  <si>
    <t>Stroomverbruik per jaar</t>
  </si>
  <si>
    <t>OVERZICHT PROJECTEN</t>
  </si>
  <si>
    <t>Verzekeringskosten</t>
  </si>
  <si>
    <t>Onderhoudskosten</t>
  </si>
  <si>
    <t>Managementkosten</t>
  </si>
  <si>
    <t xml:space="preserve">jaar </t>
  </si>
  <si>
    <t>Gemiddelde investering</t>
  </si>
  <si>
    <t>Netto-investering</t>
  </si>
  <si>
    <t>Restant lening aan eind van het jaar</t>
  </si>
  <si>
    <t>Overzicht</t>
  </si>
  <si>
    <t>Winst- en verliesrekening</t>
  </si>
  <si>
    <t>Inkomsten</t>
  </si>
  <si>
    <t>Inkomsten financiering</t>
  </si>
  <si>
    <t>Opbrenst van klanten</t>
  </si>
  <si>
    <t>Totale inkomsten</t>
  </si>
  <si>
    <t>Afschrijving</t>
  </si>
  <si>
    <t>Verzekering</t>
  </si>
  <si>
    <t>Onderhoud</t>
  </si>
  <si>
    <t>Management</t>
  </si>
  <si>
    <t>BENODIGDE GEGEVENS VAN GEBIEDSESCO</t>
  </si>
  <si>
    <t>Kapitaalkosten</t>
  </si>
  <si>
    <t>Aflossing</t>
  </si>
  <si>
    <t>Brutoresultaat</t>
  </si>
  <si>
    <t>Nettoresultaat</t>
  </si>
  <si>
    <t>Kasstroom</t>
  </si>
  <si>
    <t>Cumulatieve kasstroom</t>
  </si>
  <si>
    <t>BUSINESS CASE GEBIEDSESCO</t>
  </si>
  <si>
    <t>Balans</t>
  </si>
  <si>
    <t>Activa</t>
  </si>
  <si>
    <t>Materiele vaste activa</t>
  </si>
  <si>
    <t>Liquide middelen</t>
  </si>
  <si>
    <t>Totale activa</t>
  </si>
  <si>
    <t>Passiva</t>
  </si>
  <si>
    <t>Eigen vermogen</t>
  </si>
  <si>
    <t>Schulden</t>
  </si>
  <si>
    <t>Totale passiva</t>
  </si>
  <si>
    <t>Debiteuren</t>
  </si>
  <si>
    <t>Verwacht besparingspercentage</t>
  </si>
  <si>
    <t>Gemiddelde investering van maatregel</t>
  </si>
  <si>
    <t>Project</t>
  </si>
  <si>
    <t>maatregel A</t>
  </si>
  <si>
    <t>maatregel B</t>
  </si>
  <si>
    <t>Lopende projecten maatregel A</t>
  </si>
  <si>
    <t>Lopende projecten maatregel B</t>
  </si>
  <si>
    <t>Rentelasten financiering</t>
  </si>
  <si>
    <t>Borg</t>
  </si>
  <si>
    <t>maanden</t>
  </si>
  <si>
    <t>Jaar</t>
  </si>
  <si>
    <t>Looptijd financiering</t>
  </si>
  <si>
    <t>uur per jaar</t>
  </si>
  <si>
    <t>Tijdsbesteding per lopend project</t>
  </si>
  <si>
    <t xml:space="preserve">Saldo </t>
  </si>
  <si>
    <t>Cumulatief saldo</t>
  </si>
  <si>
    <t>Voorbereidingskosten</t>
  </si>
  <si>
    <t>Operationele kosten</t>
  </si>
  <si>
    <t>Opbrengst uit fonds</t>
  </si>
  <si>
    <t>BENODIGDE GEGEVENS GEBIEDSESCO</t>
  </si>
  <si>
    <t>Ga naar…</t>
  </si>
  <si>
    <t>Gebruikershandleiding</t>
  </si>
  <si>
    <t>Algemeen</t>
  </si>
  <si>
    <t>Lichtgekleurde cel</t>
  </si>
  <si>
    <t xml:space="preserve">Lichtgekleurde cellen zijn invulvelden. </t>
  </si>
  <si>
    <t>Witte cel</t>
  </si>
  <si>
    <t xml:space="preserve">Witte cellen zijn berekende waardes. </t>
  </si>
  <si>
    <t>Aannames</t>
  </si>
  <si>
    <t xml:space="preserve">Gemaakte aannames in de berekeningen zijn weergegeven als opmerking bij de betreffende cel. </t>
  </si>
  <si>
    <t>Toelichting op invulvelden</t>
  </si>
  <si>
    <t xml:space="preserve">Specifieke toelichting op een invulveld is, indien nodig, weergegeven als opmerking bij de betreffende cel. </t>
  </si>
  <si>
    <t>Opmerkingen bij cellen</t>
  </si>
  <si>
    <t xml:space="preserve">Een aan een cel toegevoegde opmerking is te herkennen aan een rood driehoekje rechtsboven in de cel. </t>
  </si>
  <si>
    <t>Toelichting op de verschillende sheets</t>
  </si>
  <si>
    <t>Disclaimer</t>
  </si>
  <si>
    <t xml:space="preserve">Deze globale business case tool is bedoeld om een inschatting te geven van de kosten en baten van de verschillende partijen. Aan de berekening kunnen geen rechten worden ontleend. </t>
  </si>
  <si>
    <t>Business case: Gebiedsesco</t>
  </si>
  <si>
    <t>Business case: Bedrijf</t>
  </si>
  <si>
    <t>Business case: Parkmanager</t>
  </si>
  <si>
    <t>1. BC Gebiedsesco</t>
  </si>
  <si>
    <t>Deze sheet bevat de BC voor de gebiedsesco.</t>
  </si>
  <si>
    <t xml:space="preserve">Deze sheet bevat de BC voor een bedrijf dat deel wil nemen aan de gebiedsesco en kan door de parkmanager als rekentool gebruikt worden wanneer hij op gesprek gaat bij bedrijven. </t>
  </si>
  <si>
    <t>2. BC Bedrijf</t>
  </si>
  <si>
    <t>3. BC Parkmanager</t>
  </si>
  <si>
    <t xml:space="preserve">Deze sheet bevat de BC voor de parkmanager. </t>
  </si>
  <si>
    <t xml:space="preserve">Startjaar </t>
  </si>
  <si>
    <t>Rente voor klant</t>
  </si>
  <si>
    <t>GA NAAR DE STARTPAGINA</t>
  </si>
  <si>
    <t>Dit is een resultaat in het kader van: Topsector Energie - Samenwerking Topsector Energie en Maatschappij - TESA114007 Energiemaatregelen op bedrijventerreinen</t>
  </si>
  <si>
    <t>Partners:</t>
  </si>
  <si>
    <t>Datum: September 2016</t>
  </si>
  <si>
    <t>Rapportnummer: TNO 2016 R11162</t>
  </si>
  <si>
    <t>Roosmarijn Goldbach, Guus Mulder (TNO), Jaap Kortman (IVAM) en  Gerard Fit (ECWF)</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</si>
</sst>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 #,##0;[Red]&quot;€&quot;\ \-#,##0"/>
    <numFmt numFmtId="164" formatCode="#,##0.0"/>
  </numFmts>
  <fonts count="26" x14ac:knownFonts="1">
    <font>
      <sz val="11"/>
      <color theme="1"/>
      <name val="Calibri"/>
      <family val="2"/>
      <scheme val="minor"/>
    </font>
    <font>
      <sz val="11"/>
      <color theme="1"/>
      <name val="Calibri"/>
      <family val="2"/>
      <scheme val="minor"/>
    </font>
    <font>
      <b/>
      <sz val="11"/>
      <color theme="3"/>
      <name val="Calibri"/>
      <family val="2"/>
      <scheme val="minor"/>
    </font>
    <font>
      <b/>
      <sz val="11"/>
      <color theme="9" tint="-0.499984740745262"/>
      <name val="Calibri"/>
      <family val="2"/>
      <scheme val="minor"/>
    </font>
    <font>
      <sz val="11"/>
      <color theme="0" tint="-0.499984740745262"/>
      <name val="Calibri"/>
      <family val="2"/>
      <scheme val="minor"/>
    </font>
    <font>
      <b/>
      <sz val="11"/>
      <color theme="4"/>
      <name val="Calibri"/>
      <family val="2"/>
      <scheme val="minor"/>
    </font>
    <font>
      <sz val="11"/>
      <color theme="0"/>
      <name val="Calibri"/>
      <family val="2"/>
      <scheme val="minor"/>
    </font>
    <font>
      <sz val="9"/>
      <color indexed="81"/>
      <name val="Tahoma"/>
      <family val="2"/>
    </font>
    <font>
      <b/>
      <sz val="9"/>
      <color indexed="81"/>
      <name val="Tahoma"/>
      <family val="2"/>
    </font>
    <font>
      <sz val="11"/>
      <color theme="9" tint="-0.249977111117893"/>
      <name val="Calibri"/>
      <family val="2"/>
      <scheme val="minor"/>
    </font>
    <font>
      <sz val="11"/>
      <name val="Calibri"/>
      <family val="2"/>
      <scheme val="minor"/>
    </font>
    <font>
      <sz val="11"/>
      <color rgb="FF006100"/>
      <name val="Calibri"/>
      <family val="2"/>
      <scheme val="minor"/>
    </font>
    <font>
      <b/>
      <sz val="11"/>
      <color theme="1"/>
      <name val="Calibri"/>
      <family val="2"/>
      <scheme val="minor"/>
    </font>
    <font>
      <b/>
      <sz val="11"/>
      <color theme="6" tint="-0.249977111117893"/>
      <name val="Calibri"/>
      <family val="2"/>
      <scheme val="minor"/>
    </font>
    <font>
      <b/>
      <sz val="11"/>
      <color rgb="FF006100"/>
      <name val="Calibri"/>
      <family val="2"/>
      <scheme val="minor"/>
    </font>
    <font>
      <b/>
      <sz val="11"/>
      <color theme="9" tint="-0.249977111117893"/>
      <name val="Calibri"/>
      <family val="2"/>
      <scheme val="minor"/>
    </font>
    <font>
      <sz val="11"/>
      <color theme="4"/>
      <name val="Calibri"/>
      <family val="2"/>
      <scheme val="minor"/>
    </font>
    <font>
      <sz val="11"/>
      <color theme="3"/>
      <name val="Calibri"/>
      <family val="2"/>
      <scheme val="minor"/>
    </font>
    <font>
      <b/>
      <sz val="11"/>
      <color theme="0"/>
      <name val="Calibri"/>
      <family val="2"/>
      <scheme val="minor"/>
    </font>
    <font>
      <b/>
      <sz val="24"/>
      <color theme="1"/>
      <name val="Calibri"/>
      <family val="2"/>
      <scheme val="minor"/>
    </font>
    <font>
      <sz val="22"/>
      <color theme="1"/>
      <name val="Calibri"/>
      <family val="2"/>
      <scheme val="minor"/>
    </font>
    <font>
      <u/>
      <sz val="11"/>
      <color theme="10"/>
      <name val="Calibri"/>
      <family val="2"/>
      <scheme val="minor"/>
    </font>
    <font>
      <sz val="24"/>
      <color theme="0"/>
      <name val="Calibri"/>
      <family val="2"/>
      <scheme val="minor"/>
    </font>
    <font>
      <b/>
      <sz val="24"/>
      <color theme="0"/>
      <name val="Calibri"/>
      <family val="2"/>
      <scheme val="minor"/>
    </font>
    <font>
      <sz val="12"/>
      <color theme="1"/>
      <name val="Arial"/>
      <family val="2"/>
    </font>
    <font>
      <sz val="11"/>
      <color rgb="FF92D050"/>
      <name val="Calibri"/>
      <family val="2"/>
      <scheme val="minor"/>
    </font>
  </fonts>
  <fills count="12">
    <fill>
      <patternFill patternType="none"/>
    </fill>
    <fill>
      <patternFill patternType="gray125"/>
    </fill>
    <fill>
      <patternFill patternType="solid">
        <fgColor theme="9" tint="0.59999389629810485"/>
        <bgColor indexed="65"/>
      </patternFill>
    </fill>
    <fill>
      <patternFill patternType="solid">
        <fgColor theme="9" tint="0.59999389629810485"/>
        <bgColor indexed="64"/>
      </patternFill>
    </fill>
    <fill>
      <patternFill patternType="solid">
        <fgColor rgb="FFC6EFCE"/>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499984740745262"/>
        <bgColor indexed="64"/>
      </patternFill>
    </fill>
    <fill>
      <patternFill patternType="solid">
        <fgColor theme="1" tint="0.14999847407452621"/>
        <bgColor indexed="64"/>
      </patternFill>
    </fill>
    <fill>
      <patternFill patternType="solid">
        <fgColor theme="0" tint="-0.34998626667073579"/>
        <bgColor indexed="64"/>
      </patternFill>
    </fill>
    <fill>
      <patternFill patternType="solid">
        <fgColor theme="1"/>
        <bgColor indexed="64"/>
      </patternFill>
    </fill>
  </fills>
  <borders count="18">
    <border>
      <left/>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 fillId="2" borderId="0" applyNumberFormat="0" applyBorder="0" applyAlignment="0" applyProtection="0"/>
    <xf numFmtId="0" fontId="11" fillId="4" borderId="0" applyNumberFormat="0" applyBorder="0" applyAlignment="0" applyProtection="0"/>
    <xf numFmtId="0" fontId="21" fillId="0" borderId="0" applyNumberFormat="0" applyFill="0" applyBorder="0" applyAlignment="0" applyProtection="0"/>
  </cellStyleXfs>
  <cellXfs count="118">
    <xf numFmtId="0" fontId="0" fillId="0" borderId="0" xfId="0"/>
    <xf numFmtId="0" fontId="0" fillId="0" borderId="0" xfId="0"/>
    <xf numFmtId="0" fontId="0" fillId="0" borderId="0" xfId="0"/>
    <xf numFmtId="0" fontId="6" fillId="0" borderId="0" xfId="0" applyFont="1"/>
    <xf numFmtId="0" fontId="9" fillId="0" borderId="1" xfId="0" applyFont="1" applyBorder="1"/>
    <xf numFmtId="0" fontId="10" fillId="0" borderId="1" xfId="0" applyFont="1" applyBorder="1"/>
    <xf numFmtId="0" fontId="5" fillId="0" borderId="6" xfId="0" applyFont="1" applyBorder="1"/>
    <xf numFmtId="0" fontId="3" fillId="0" borderId="1" xfId="0" applyFont="1" applyBorder="1"/>
    <xf numFmtId="0" fontId="0" fillId="0" borderId="3" xfId="0" applyBorder="1"/>
    <xf numFmtId="0" fontId="0" fillId="0" borderId="4" xfId="0" applyBorder="1"/>
    <xf numFmtId="0" fontId="0" fillId="0" borderId="1" xfId="0" applyBorder="1"/>
    <xf numFmtId="0" fontId="0" fillId="0" borderId="0" xfId="0" applyBorder="1"/>
    <xf numFmtId="0" fontId="0" fillId="0" borderId="5" xfId="0" applyBorder="1"/>
    <xf numFmtId="0" fontId="12" fillId="0" borderId="1" xfId="0" applyFont="1" applyBorder="1"/>
    <xf numFmtId="0" fontId="0" fillId="0" borderId="6" xfId="0" applyBorder="1"/>
    <xf numFmtId="0" fontId="2" fillId="0" borderId="2" xfId="0" applyFont="1" applyBorder="1"/>
    <xf numFmtId="0" fontId="3" fillId="0" borderId="2" xfId="0" applyFont="1" applyBorder="1"/>
    <xf numFmtId="0" fontId="2" fillId="0" borderId="1" xfId="0" applyFont="1" applyBorder="1"/>
    <xf numFmtId="0" fontId="5" fillId="0" borderId="1" xfId="0" applyFont="1" applyBorder="1"/>
    <xf numFmtId="0" fontId="5" fillId="0" borderId="5" xfId="0" applyFont="1" applyBorder="1"/>
    <xf numFmtId="0" fontId="0" fillId="0" borderId="5" xfId="0" applyFill="1" applyBorder="1"/>
    <xf numFmtId="0" fontId="5" fillId="0" borderId="7" xfId="0" applyFont="1" applyFill="1" applyBorder="1"/>
    <xf numFmtId="0" fontId="0" fillId="0" borderId="1" xfId="0" applyFill="1" applyBorder="1"/>
    <xf numFmtId="0" fontId="0" fillId="0" borderId="6" xfId="0" applyFill="1" applyBorder="1"/>
    <xf numFmtId="0" fontId="5" fillId="0" borderId="6" xfId="0" applyFont="1" applyFill="1" applyBorder="1"/>
    <xf numFmtId="0" fontId="0" fillId="0" borderId="0" xfId="0"/>
    <xf numFmtId="0" fontId="14" fillId="5" borderId="2" xfId="2" applyFont="1" applyFill="1" applyBorder="1"/>
    <xf numFmtId="0" fontId="11" fillId="5" borderId="1" xfId="2" applyFill="1" applyBorder="1"/>
    <xf numFmtId="0" fontId="0" fillId="0" borderId="8" xfId="0" applyBorder="1"/>
    <xf numFmtId="0" fontId="15" fillId="0" borderId="0" xfId="0" applyFont="1" applyBorder="1"/>
    <xf numFmtId="0" fontId="0" fillId="0" borderId="0" xfId="0" applyFill="1" applyBorder="1"/>
    <xf numFmtId="0" fontId="15" fillId="0" borderId="0" xfId="0" applyFont="1" applyFill="1" applyBorder="1" applyAlignment="1">
      <alignment horizontal="left"/>
    </xf>
    <xf numFmtId="0" fontId="15" fillId="0" borderId="5" xfId="0" applyFont="1" applyBorder="1"/>
    <xf numFmtId="0" fontId="0" fillId="0" borderId="7" xfId="0" applyBorder="1"/>
    <xf numFmtId="0" fontId="16" fillId="0" borderId="1" xfId="0" applyFont="1" applyBorder="1"/>
    <xf numFmtId="0" fontId="16" fillId="0" borderId="6" xfId="0" applyFont="1" applyBorder="1"/>
    <xf numFmtId="0" fontId="15" fillId="0" borderId="1" xfId="0" applyFont="1" applyBorder="1"/>
    <xf numFmtId="1" fontId="0" fillId="0" borderId="1" xfId="0" applyNumberFormat="1" applyBorder="1"/>
    <xf numFmtId="0" fontId="0" fillId="0" borderId="1" xfId="0" applyBorder="1" applyAlignment="1">
      <alignment horizontal="left"/>
    </xf>
    <xf numFmtId="0" fontId="0" fillId="0" borderId="1" xfId="0" applyFill="1" applyBorder="1" applyAlignment="1">
      <alignment horizontal="left"/>
    </xf>
    <xf numFmtId="0" fontId="0" fillId="0" borderId="6" xfId="0" applyFill="1" applyBorder="1" applyAlignment="1">
      <alignment horizontal="left"/>
    </xf>
    <xf numFmtId="6" fontId="0" fillId="0" borderId="0" xfId="0" applyNumberFormat="1" applyBorder="1"/>
    <xf numFmtId="0" fontId="6" fillId="0" borderId="0" xfId="0" applyFont="1" applyFill="1" applyBorder="1"/>
    <xf numFmtId="1" fontId="6" fillId="0" borderId="0" xfId="0" applyNumberFormat="1" applyFont="1"/>
    <xf numFmtId="0" fontId="0" fillId="5" borderId="1" xfId="0" applyFill="1" applyBorder="1"/>
    <xf numFmtId="0" fontId="0" fillId="5" borderId="0" xfId="0" applyFill="1" applyBorder="1"/>
    <xf numFmtId="0" fontId="0" fillId="5" borderId="5" xfId="0" applyFill="1" applyBorder="1"/>
    <xf numFmtId="0" fontId="2" fillId="6" borderId="1" xfId="0" applyFont="1" applyFill="1" applyBorder="1"/>
    <xf numFmtId="0" fontId="2" fillId="7" borderId="1" xfId="0" applyFont="1" applyFill="1" applyBorder="1"/>
    <xf numFmtId="0" fontId="0" fillId="7" borderId="0" xfId="0" applyFill="1" applyBorder="1"/>
    <xf numFmtId="0" fontId="0" fillId="7" borderId="5" xfId="0" applyFill="1" applyBorder="1"/>
    <xf numFmtId="0" fontId="2" fillId="6" borderId="0" xfId="0" applyFont="1" applyFill="1" applyBorder="1"/>
    <xf numFmtId="0" fontId="2" fillId="6" borderId="5" xfId="0" applyFont="1" applyFill="1" applyBorder="1"/>
    <xf numFmtId="0" fontId="17" fillId="6" borderId="0" xfId="0" applyFont="1" applyFill="1" applyBorder="1"/>
    <xf numFmtId="0" fontId="17" fillId="6" borderId="1" xfId="0" applyFont="1" applyFill="1" applyBorder="1"/>
    <xf numFmtId="0" fontId="17" fillId="6" borderId="5" xfId="0" applyFont="1" applyFill="1" applyBorder="1"/>
    <xf numFmtId="3" fontId="0" fillId="0" borderId="0" xfId="0" applyNumberFormat="1" applyBorder="1"/>
    <xf numFmtId="3" fontId="0" fillId="0" borderId="5" xfId="0" applyNumberFormat="1" applyBorder="1"/>
    <xf numFmtId="3" fontId="0" fillId="0" borderId="8" xfId="0" applyNumberFormat="1" applyBorder="1"/>
    <xf numFmtId="3" fontId="0" fillId="0" borderId="7" xfId="0" applyNumberFormat="1" applyBorder="1"/>
    <xf numFmtId="3" fontId="5" fillId="0" borderId="0" xfId="0" applyNumberFormat="1" applyFont="1" applyBorder="1"/>
    <xf numFmtId="3" fontId="5" fillId="0" borderId="8" xfId="0" applyNumberFormat="1" applyFont="1" applyBorder="1"/>
    <xf numFmtId="3" fontId="13" fillId="5" borderId="1" xfId="2" applyNumberFormat="1" applyFont="1" applyFill="1" applyBorder="1" applyAlignment="1">
      <alignment horizontal="left"/>
    </xf>
    <xf numFmtId="3" fontId="0" fillId="0" borderId="0" xfId="0" applyNumberFormat="1" applyBorder="1" applyAlignment="1">
      <alignment horizontal="right"/>
    </xf>
    <xf numFmtId="3" fontId="5" fillId="0" borderId="5" xfId="0" applyNumberFormat="1" applyFont="1" applyBorder="1"/>
    <xf numFmtId="3" fontId="4" fillId="0" borderId="0" xfId="0" applyNumberFormat="1" applyFont="1" applyBorder="1"/>
    <xf numFmtId="3" fontId="10" fillId="0" borderId="0" xfId="0" applyNumberFormat="1" applyFont="1" applyBorder="1"/>
    <xf numFmtId="3" fontId="10" fillId="0" borderId="5" xfId="0" applyNumberFormat="1" applyFont="1" applyBorder="1"/>
    <xf numFmtId="3" fontId="5" fillId="0" borderId="7" xfId="0" applyNumberFormat="1" applyFont="1" applyBorder="1"/>
    <xf numFmtId="164" fontId="13" fillId="5" borderId="6" xfId="2" applyNumberFormat="1" applyFont="1" applyFill="1" applyBorder="1" applyAlignment="1">
      <alignment horizontal="left"/>
    </xf>
    <xf numFmtId="0" fontId="19" fillId="0" borderId="9" xfId="0" applyFont="1" applyBorder="1"/>
    <xf numFmtId="0" fontId="20" fillId="0" borderId="0" xfId="0" applyFont="1"/>
    <xf numFmtId="0" fontId="19" fillId="0" borderId="0" xfId="0" applyFont="1"/>
    <xf numFmtId="0" fontId="6" fillId="9" borderId="2" xfId="0" applyFont="1" applyFill="1" applyBorder="1" applyAlignment="1">
      <alignment vertical="center"/>
    </xf>
    <xf numFmtId="0" fontId="6" fillId="9" borderId="4" xfId="0" applyFont="1" applyFill="1" applyBorder="1" applyAlignment="1">
      <alignment vertical="center"/>
    </xf>
    <xf numFmtId="0" fontId="0" fillId="10" borderId="1" xfId="0" applyFill="1" applyBorder="1" applyAlignment="1">
      <alignment vertical="center"/>
    </xf>
    <xf numFmtId="0" fontId="0" fillId="0" borderId="5" xfId="0" applyBorder="1" applyAlignment="1">
      <alignment vertical="center"/>
    </xf>
    <xf numFmtId="0" fontId="0" fillId="0" borderId="1"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0" xfId="0" applyAlignment="1">
      <alignment vertical="center"/>
    </xf>
    <xf numFmtId="0" fontId="6" fillId="11" borderId="2" xfId="0" applyFont="1" applyFill="1" applyBorder="1" applyAlignment="1">
      <alignment vertical="center"/>
    </xf>
    <xf numFmtId="0" fontId="6" fillId="11" borderId="4" xfId="0" applyFont="1" applyFill="1" applyBorder="1" applyAlignment="1">
      <alignment vertical="center"/>
    </xf>
    <xf numFmtId="0" fontId="0" fillId="0" borderId="10" xfId="0" applyBorder="1" applyAlignment="1">
      <alignment vertical="center"/>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wrapText="1"/>
    </xf>
    <xf numFmtId="0" fontId="23" fillId="11" borderId="2" xfId="0" applyFont="1" applyFill="1" applyBorder="1"/>
    <xf numFmtId="0" fontId="0" fillId="11" borderId="4" xfId="0" applyFill="1" applyBorder="1"/>
    <xf numFmtId="0" fontId="22" fillId="8" borderId="14" xfId="3" applyFont="1" applyFill="1" applyBorder="1"/>
    <xf numFmtId="0" fontId="15" fillId="0" borderId="1" xfId="0" applyFont="1" applyFill="1" applyBorder="1"/>
    <xf numFmtId="0" fontId="10" fillId="0" borderId="5" xfId="0" applyFont="1" applyBorder="1"/>
    <xf numFmtId="0" fontId="10" fillId="0" borderId="0" xfId="0" applyFont="1" applyBorder="1"/>
    <xf numFmtId="0" fontId="10" fillId="0" borderId="8" xfId="0" applyFont="1" applyBorder="1"/>
    <xf numFmtId="0" fontId="18" fillId="8" borderId="9" xfId="3" applyFont="1" applyFill="1" applyBorder="1"/>
    <xf numFmtId="0" fontId="10" fillId="0" borderId="7" xfId="0" applyFont="1" applyBorder="1"/>
    <xf numFmtId="0" fontId="10" fillId="0" borderId="4" xfId="0" applyFont="1" applyBorder="1"/>
    <xf numFmtId="0" fontId="11" fillId="5" borderId="0" xfId="2" applyFill="1" applyBorder="1"/>
    <xf numFmtId="0" fontId="13" fillId="5" borderId="0" xfId="2" applyFont="1" applyFill="1" applyBorder="1"/>
    <xf numFmtId="0" fontId="11" fillId="5" borderId="3" xfId="2" applyFill="1" applyBorder="1"/>
    <xf numFmtId="0" fontId="13" fillId="5" borderId="8" xfId="2" applyFont="1" applyFill="1" applyBorder="1"/>
    <xf numFmtId="0" fontId="18" fillId="8" borderId="15" xfId="3" applyFont="1" applyFill="1" applyBorder="1"/>
    <xf numFmtId="0" fontId="6" fillId="8" borderId="16" xfId="0" applyFont="1" applyFill="1" applyBorder="1"/>
    <xf numFmtId="0" fontId="6" fillId="8" borderId="17" xfId="0" applyFont="1" applyFill="1" applyBorder="1"/>
    <xf numFmtId="0" fontId="12" fillId="0" borderId="0" xfId="0" applyFont="1"/>
    <xf numFmtId="0" fontId="24" fillId="0" borderId="0" xfId="0" applyFont="1" applyAlignment="1">
      <alignment vertical="center"/>
    </xf>
    <xf numFmtId="0" fontId="25" fillId="0" borderId="0" xfId="0" applyFont="1" applyAlignment="1">
      <alignment wrapText="1"/>
    </xf>
    <xf numFmtId="3" fontId="0" fillId="3" borderId="0" xfId="0" applyNumberFormat="1" applyFill="1" applyBorder="1" applyAlignment="1" applyProtection="1">
      <alignment horizontal="right"/>
      <protection locked="0"/>
    </xf>
    <xf numFmtId="0" fontId="0" fillId="3" borderId="0" xfId="0" applyFill="1" applyBorder="1" applyProtection="1">
      <protection locked="0"/>
    </xf>
    <xf numFmtId="1" fontId="0" fillId="3" borderId="0" xfId="0" applyNumberFormat="1" applyFill="1" applyBorder="1" applyProtection="1">
      <protection locked="0"/>
    </xf>
    <xf numFmtId="0" fontId="0" fillId="3" borderId="8" xfId="0" applyFill="1" applyBorder="1" applyProtection="1">
      <protection locked="0"/>
    </xf>
    <xf numFmtId="0" fontId="0" fillId="3" borderId="5" xfId="0" applyFill="1" applyBorder="1" applyProtection="1">
      <protection locked="0"/>
    </xf>
    <xf numFmtId="0" fontId="0" fillId="3" borderId="7" xfId="0" applyFill="1" applyBorder="1" applyProtection="1">
      <protection locked="0"/>
    </xf>
    <xf numFmtId="3" fontId="1" fillId="2" borderId="0" xfId="1" applyNumberFormat="1" applyBorder="1" applyAlignment="1" applyProtection="1">
      <alignment horizontal="left"/>
      <protection locked="0"/>
    </xf>
    <xf numFmtId="0" fontId="1" fillId="2" borderId="8" xfId="1" applyBorder="1" applyAlignment="1" applyProtection="1">
      <alignment horizontal="left"/>
      <protection locked="0"/>
    </xf>
    <xf numFmtId="3" fontId="0" fillId="3" borderId="0" xfId="0" applyNumberFormat="1" applyFill="1" applyBorder="1" applyAlignment="1" applyProtection="1">
      <alignment horizontal="left"/>
      <protection locked="0"/>
    </xf>
    <xf numFmtId="0" fontId="0" fillId="3" borderId="0" xfId="0" applyFill="1" applyBorder="1" applyAlignment="1" applyProtection="1">
      <alignment horizontal="left"/>
      <protection locked="0"/>
    </xf>
    <xf numFmtId="3" fontId="1" fillId="2" borderId="8" xfId="1" applyNumberFormat="1" applyBorder="1" applyAlignment="1" applyProtection="1">
      <alignment horizontal="left"/>
      <protection locked="0"/>
    </xf>
  </cellXfs>
  <cellStyles count="4">
    <cellStyle name="40% - Accent6" xfId="1" builtinId="51"/>
    <cellStyle name="Good" xfId="2" builtinId="26"/>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nl-NL"/>
              <a:t>Cumulatief saldo</a:t>
            </a:r>
            <a:r>
              <a:rPr lang="nl-NL" baseline="0"/>
              <a:t> voor PM</a:t>
            </a:r>
            <a:endParaRPr lang="nl-NL"/>
          </a:p>
        </c:rich>
      </c:tx>
      <c:layout/>
      <c:overlay val="0"/>
    </c:title>
    <c:autoTitleDeleted val="0"/>
    <c:plotArea>
      <c:layout/>
      <c:lineChart>
        <c:grouping val="standard"/>
        <c:varyColors val="0"/>
        <c:ser>
          <c:idx val="1"/>
          <c:order val="0"/>
          <c:marker>
            <c:symbol val="none"/>
          </c:marker>
          <c:val>
            <c:numRef>
              <c:f>'3. BC Parkmanager'!$C$30:$N$30</c:f>
              <c:numCache>
                <c:formatCode>#,##0</c:formatCode>
                <c:ptCount val="12"/>
                <c:pt idx="0">
                  <c:v>-30200</c:v>
                </c:pt>
                <c:pt idx="1">
                  <c:v>-29800</c:v>
                </c:pt>
                <c:pt idx="2">
                  <c:v>-28200</c:v>
                </c:pt>
                <c:pt idx="3">
                  <c:v>-26600</c:v>
                </c:pt>
                <c:pt idx="4">
                  <c:v>-25000</c:v>
                </c:pt>
                <c:pt idx="5">
                  <c:v>-21600</c:v>
                </c:pt>
                <c:pt idx="6">
                  <c:v>-14600</c:v>
                </c:pt>
                <c:pt idx="7">
                  <c:v>-6700</c:v>
                </c:pt>
                <c:pt idx="8">
                  <c:v>1200</c:v>
                </c:pt>
                <c:pt idx="9">
                  <c:v>9100</c:v>
                </c:pt>
                <c:pt idx="10">
                  <c:v>14900</c:v>
                </c:pt>
                <c:pt idx="11">
                  <c:v>16500</c:v>
                </c:pt>
              </c:numCache>
            </c:numRef>
          </c:val>
          <c:smooth val="0"/>
        </c:ser>
        <c:dLbls>
          <c:showLegendKey val="0"/>
          <c:showVal val="0"/>
          <c:showCatName val="0"/>
          <c:showSerName val="0"/>
          <c:showPercent val="0"/>
          <c:showBubbleSize val="0"/>
        </c:dLbls>
        <c:marker val="1"/>
        <c:smooth val="0"/>
        <c:axId val="307942144"/>
        <c:axId val="312102912"/>
      </c:lineChart>
      <c:catAx>
        <c:axId val="307942144"/>
        <c:scaling>
          <c:orientation val="minMax"/>
        </c:scaling>
        <c:delete val="0"/>
        <c:axPos val="b"/>
        <c:title>
          <c:tx>
            <c:rich>
              <a:bodyPr/>
              <a:lstStyle/>
              <a:p>
                <a:pPr>
                  <a:defRPr/>
                </a:pPr>
                <a:r>
                  <a:rPr lang="en-US"/>
                  <a:t>tijd in jaren</a:t>
                </a:r>
              </a:p>
            </c:rich>
          </c:tx>
          <c:layout>
            <c:manualLayout>
              <c:xMode val="edge"/>
              <c:yMode val="edge"/>
              <c:x val="0.81334203956212792"/>
              <c:y val="0.53927988675528205"/>
            </c:manualLayout>
          </c:layout>
          <c:overlay val="0"/>
        </c:title>
        <c:majorTickMark val="none"/>
        <c:minorTickMark val="none"/>
        <c:tickLblPos val="nextTo"/>
        <c:crossAx val="312102912"/>
        <c:crosses val="autoZero"/>
        <c:auto val="1"/>
        <c:lblAlgn val="ctr"/>
        <c:lblOffset val="100"/>
        <c:noMultiLvlLbl val="0"/>
      </c:catAx>
      <c:valAx>
        <c:axId val="312102912"/>
        <c:scaling>
          <c:orientation val="minMax"/>
        </c:scaling>
        <c:delete val="0"/>
        <c:axPos val="l"/>
        <c:title>
          <c:tx>
            <c:rich>
              <a:bodyPr rot="-5400000" vert="horz"/>
              <a:lstStyle/>
              <a:p>
                <a:pPr>
                  <a:defRPr/>
                </a:pPr>
                <a:r>
                  <a:rPr lang="en-US"/>
                  <a:t>sadlo</a:t>
                </a:r>
                <a:r>
                  <a:rPr lang="en-US" baseline="0"/>
                  <a:t> in </a:t>
                </a:r>
                <a:r>
                  <a:rPr lang="en-US"/>
                  <a:t>euro's</a:t>
                </a:r>
              </a:p>
            </c:rich>
          </c:tx>
          <c:layout>
            <c:manualLayout>
              <c:xMode val="edge"/>
              <c:yMode val="edge"/>
              <c:x val="2.9671595928557712E-2"/>
              <c:y val="0.32874096417696208"/>
            </c:manualLayout>
          </c:layout>
          <c:overlay val="0"/>
        </c:title>
        <c:numFmt formatCode="#,##0" sourceLinked="1"/>
        <c:majorTickMark val="none"/>
        <c:minorTickMark val="none"/>
        <c:tickLblPos val="nextTo"/>
        <c:crossAx val="307942144"/>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116840</xdr:rowOff>
    </xdr:from>
    <xdr:to>
      <xdr:col>2</xdr:col>
      <xdr:colOff>835660</xdr:colOff>
      <xdr:row>1</xdr:row>
      <xdr:rowOff>714375</xdr:rowOff>
    </xdr:to>
    <xdr:pic>
      <xdr:nvPicPr>
        <xdr:cNvPr id="11" name="Bild 8" descr="426_1_TNO_ifl_zwart.png"/>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566" t="17350" b="16717"/>
        <a:stretch/>
      </xdr:blipFill>
      <xdr:spPr bwMode="auto">
        <a:xfrm>
          <a:off x="342900" y="307340"/>
          <a:ext cx="2912110" cy="59753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838200</xdr:colOff>
      <xdr:row>1</xdr:row>
      <xdr:rowOff>116840</xdr:rowOff>
    </xdr:from>
    <xdr:to>
      <xdr:col>2</xdr:col>
      <xdr:colOff>3350895</xdr:colOff>
      <xdr:row>1</xdr:row>
      <xdr:rowOff>714375</xdr:rowOff>
    </xdr:to>
    <xdr:pic>
      <xdr:nvPicPr>
        <xdr:cNvPr id="12" name="Picture 11" descr="Beschrijving: Logo IVAM RGB l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17341" r="5203" b="15029"/>
        <a:stretch/>
      </xdr:blipFill>
      <xdr:spPr bwMode="auto">
        <a:xfrm>
          <a:off x="3257550" y="307340"/>
          <a:ext cx="2512695" cy="59753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7943850</xdr:colOff>
      <xdr:row>1</xdr:row>
      <xdr:rowOff>0</xdr:rowOff>
    </xdr:from>
    <xdr:to>
      <xdr:col>2</xdr:col>
      <xdr:colOff>10276205</xdr:colOff>
      <xdr:row>1</xdr:row>
      <xdr:rowOff>831215</xdr:rowOff>
    </xdr:to>
    <xdr:pic>
      <xdr:nvPicPr>
        <xdr:cNvPr id="13" name="Picture 12" descr="http://www.slibgisting.nl/wp-content/uploads/2015/01/Topsector-energie.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0363200" y="190500"/>
          <a:ext cx="2332355" cy="831215"/>
        </a:xfrm>
        <a:prstGeom prst="rect">
          <a:avLst/>
        </a:prstGeom>
        <a:noFill/>
        <a:ln>
          <a:noFill/>
        </a:ln>
      </xdr:spPr>
    </xdr:pic>
    <xdr:clientData/>
  </xdr:twoCellAnchor>
  <xdr:twoCellAnchor>
    <xdr:from>
      <xdr:col>1</xdr:col>
      <xdr:colOff>1285875</xdr:colOff>
      <xdr:row>34</xdr:row>
      <xdr:rowOff>104775</xdr:rowOff>
    </xdr:from>
    <xdr:to>
      <xdr:col>2</xdr:col>
      <xdr:colOff>1638300</xdr:colOff>
      <xdr:row>37</xdr:row>
      <xdr:rowOff>133350</xdr:rowOff>
    </xdr:to>
    <xdr:pic>
      <xdr:nvPicPr>
        <xdr:cNvPr id="14" name="Picture 7" descr="uwlogo"/>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b="21387"/>
        <a:stretch>
          <a:fillRect/>
        </a:stretch>
      </xdr:blipFill>
      <xdr:spPr bwMode="auto">
        <a:xfrm>
          <a:off x="1628775" y="8610600"/>
          <a:ext cx="2428875"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4600575</xdr:colOff>
      <xdr:row>34</xdr:row>
      <xdr:rowOff>152400</xdr:rowOff>
    </xdr:from>
    <xdr:to>
      <xdr:col>2</xdr:col>
      <xdr:colOff>6600825</xdr:colOff>
      <xdr:row>37</xdr:row>
      <xdr:rowOff>180975</xdr:rowOff>
    </xdr:to>
    <xdr:pic>
      <xdr:nvPicPr>
        <xdr:cNvPr id="15" name="Picture 5" descr="MRM voor werken en wonen x90"/>
        <xdr:cNvPicPr>
          <a:picLocks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019925" y="8658225"/>
          <a:ext cx="2000250"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2219324</xdr:colOff>
      <xdr:row>34</xdr:row>
      <xdr:rowOff>28575</xdr:rowOff>
    </xdr:from>
    <xdr:to>
      <xdr:col>2</xdr:col>
      <xdr:colOff>4114799</xdr:colOff>
      <xdr:row>38</xdr:row>
      <xdr:rowOff>190012</xdr:rowOff>
    </xdr:to>
    <xdr:pic>
      <xdr:nvPicPr>
        <xdr:cNvPr id="16" name="Picture 15" descr="Logo ECWF Energie"/>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638674" y="8534400"/>
          <a:ext cx="1895475" cy="9234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7096124</xdr:colOff>
      <xdr:row>35</xdr:row>
      <xdr:rowOff>9526</xdr:rowOff>
    </xdr:from>
    <xdr:to>
      <xdr:col>2</xdr:col>
      <xdr:colOff>8686799</xdr:colOff>
      <xdr:row>38</xdr:row>
      <xdr:rowOff>89526</xdr:rowOff>
    </xdr:to>
    <xdr:pic>
      <xdr:nvPicPr>
        <xdr:cNvPr id="17" name="Picture 17"/>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9515474" y="8705851"/>
          <a:ext cx="1590675" cy="651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40</xdr:row>
      <xdr:rowOff>0</xdr:rowOff>
    </xdr:from>
    <xdr:to>
      <xdr:col>2</xdr:col>
      <xdr:colOff>3771900</xdr:colOff>
      <xdr:row>48</xdr:row>
      <xdr:rowOff>36830</xdr:rowOff>
    </xdr:to>
    <xdr:sp macro="" textlink="">
      <xdr:nvSpPr>
        <xdr:cNvPr id="10" name="Text Box 307"/>
        <xdr:cNvSpPr txBox="1">
          <a:spLocks noChangeArrowheads="1"/>
        </xdr:cNvSpPr>
      </xdr:nvSpPr>
      <xdr:spPr bwMode="auto">
        <a:xfrm>
          <a:off x="342900" y="10353675"/>
          <a:ext cx="5848350" cy="156083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a:spcAft>
              <a:spcPts val="0"/>
            </a:spcAft>
          </a:pPr>
          <a:r>
            <a:rPr lang="nl-NL" sz="1000" i="1">
              <a:solidFill>
                <a:srgbClr val="000000"/>
              </a:solidFill>
              <a:effectLst/>
              <a:latin typeface="Minion Pro Disp"/>
              <a:ea typeface="Calibri"/>
              <a:cs typeface="Times New Roman"/>
            </a:rPr>
            <a:t>© 2016 TNO, Den Haag (compilatie). Alle rechten voorbehouden. Delen van dit document zijn door derden verzorgd en worden door TNO onder licentie hergebruikt. </a:t>
          </a:r>
          <a:r>
            <a:rPr lang="nl-NL" sz="1000" i="1">
              <a:effectLst/>
              <a:latin typeface="Minion Pro Disp"/>
              <a:ea typeface="Calibri"/>
              <a:cs typeface="Times New Roman"/>
            </a:rPr>
            <a:t>Niets uit deze uitgave mag worden verveelvoudigd, opgeslagen in een geautomatiseerd gegevensbestand of openbaar gemaakt worden in enige vorm of op enige wijze, hetzij elektronisch, mechanisch of door fotokopieën, opname, of op enige andere manier, zonder voorafgaande schriftelijke toestemming van de uitgever. </a:t>
          </a:r>
          <a:r>
            <a:rPr lang="nl-NL" sz="1000" i="1">
              <a:solidFill>
                <a:srgbClr val="000000"/>
              </a:solidFill>
              <a:effectLst/>
              <a:latin typeface="Minion Pro Disp"/>
              <a:ea typeface="Calibri"/>
              <a:cs typeface="Times New Roman"/>
            </a:rPr>
            <a:t>Hoewel dit document met de grootste zorg is samengesteld kunnen onjuistheden of omissies niet geheel worden uitgesloten. TNO aanvaardt derhalve geen aansprakelijkheid voor schade die eventueel mocht voortvloeien uit uw gebruik van dit document. </a:t>
          </a:r>
          <a:endParaRPr lang="nl-NL" sz="1200">
            <a:effectLst/>
            <a:latin typeface="Minion Pro Disp"/>
            <a:ea typeface="Calibri"/>
            <a:cs typeface="Times New Roman"/>
          </a:endParaRPr>
        </a:p>
        <a:p>
          <a:pPr>
            <a:spcAft>
              <a:spcPts val="0"/>
            </a:spcAft>
          </a:pPr>
          <a:r>
            <a:rPr lang="nl-NL" sz="1000" i="1">
              <a:solidFill>
                <a:srgbClr val="000000"/>
              </a:solidFill>
              <a:effectLst/>
              <a:latin typeface="Minion Pro Disp"/>
              <a:ea typeface="Calibri"/>
              <a:cs typeface="Times New Roman"/>
            </a:rPr>
            <a:t>Volledigheidshalve maken wij u erop attent dat bij verwijzingen in andere publicaties naar TNO als auteur van dit document geen gebruik mag worden gemaakt van het TNO logo.</a:t>
          </a:r>
          <a:endParaRPr lang="nl-NL" sz="1200">
            <a:effectLst/>
            <a:latin typeface="Minion Pro Disp"/>
            <a:ea typeface="Calibri"/>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xdr:colOff>
      <xdr:row>1</xdr:row>
      <xdr:rowOff>1</xdr:rowOff>
    </xdr:from>
    <xdr:to>
      <xdr:col>11</xdr:col>
      <xdr:colOff>76201</xdr:colOff>
      <xdr:row>12</xdr:row>
      <xdr:rowOff>171450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autoPageBreaks="0"/>
  </sheetPr>
  <dimension ref="B2:C38"/>
  <sheetViews>
    <sheetView showGridLines="0" tabSelected="1" workbookViewId="0">
      <selection activeCell="B8" sqref="B8"/>
    </sheetView>
  </sheetViews>
  <sheetFormatPr defaultRowHeight="15" x14ac:dyDescent="0.25"/>
  <cols>
    <col min="1" max="1" width="5.140625" style="25" customWidth="1"/>
    <col min="2" max="2" width="31.140625" style="25" customWidth="1"/>
    <col min="3" max="3" width="154.7109375" style="25" customWidth="1"/>
    <col min="4" max="16384" width="9.140625" style="25"/>
  </cols>
  <sheetData>
    <row r="2" spans="2:3" ht="68.25" customHeight="1" x14ac:dyDescent="0.25"/>
    <row r="3" spans="2:3" ht="15.75" customHeight="1" x14ac:dyDescent="0.25">
      <c r="C3" s="106" t="s">
        <v>123</v>
      </c>
    </row>
    <row r="4" spans="2:3" ht="15.75" customHeight="1" x14ac:dyDescent="0.25">
      <c r="C4" s="106" t="s">
        <v>121</v>
      </c>
    </row>
    <row r="5" spans="2:3" ht="15.75" customHeight="1" x14ac:dyDescent="0.25">
      <c r="C5" s="106" t="s">
        <v>122</v>
      </c>
    </row>
    <row r="6" spans="2:3" ht="15.75" customHeight="1" x14ac:dyDescent="0.25">
      <c r="C6" s="25" t="s">
        <v>119</v>
      </c>
    </row>
    <row r="7" spans="2:3" ht="15.75" thickBot="1" x14ac:dyDescent="0.3"/>
    <row r="8" spans="2:3" s="71" customFormat="1" ht="32.25" thickBot="1" x14ac:dyDescent="0.55000000000000004">
      <c r="B8" s="70" t="s">
        <v>91</v>
      </c>
    </row>
    <row r="9" spans="2:3" ht="31.5" x14ac:dyDescent="0.5">
      <c r="C9" s="89" t="s">
        <v>107</v>
      </c>
    </row>
    <row r="10" spans="2:3" ht="31.5" x14ac:dyDescent="0.5">
      <c r="C10" s="89" t="s">
        <v>108</v>
      </c>
    </row>
    <row r="11" spans="2:3" ht="31.5" x14ac:dyDescent="0.5">
      <c r="C11" s="89" t="s">
        <v>109</v>
      </c>
    </row>
    <row r="13" spans="2:3" ht="51.75" customHeight="1" x14ac:dyDescent="0.25"/>
    <row r="14" spans="2:3" ht="31.5" x14ac:dyDescent="0.5">
      <c r="B14" s="72" t="s">
        <v>92</v>
      </c>
    </row>
    <row r="15" spans="2:3" ht="15.75" thickBot="1" x14ac:dyDescent="0.3"/>
    <row r="16" spans="2:3" x14ac:dyDescent="0.25">
      <c r="B16" s="73" t="s">
        <v>93</v>
      </c>
      <c r="C16" s="74"/>
    </row>
    <row r="17" spans="2:3" x14ac:dyDescent="0.25">
      <c r="B17" s="75" t="s">
        <v>94</v>
      </c>
      <c r="C17" s="76" t="s">
        <v>95</v>
      </c>
    </row>
    <row r="18" spans="2:3" x14ac:dyDescent="0.25">
      <c r="B18" s="77" t="s">
        <v>96</v>
      </c>
      <c r="C18" s="12" t="s">
        <v>97</v>
      </c>
    </row>
    <row r="19" spans="2:3" x14ac:dyDescent="0.25">
      <c r="B19" s="77" t="s">
        <v>98</v>
      </c>
      <c r="C19" s="76" t="s">
        <v>99</v>
      </c>
    </row>
    <row r="20" spans="2:3" x14ac:dyDescent="0.25">
      <c r="B20" s="77" t="s">
        <v>100</v>
      </c>
      <c r="C20" s="76" t="s">
        <v>101</v>
      </c>
    </row>
    <row r="21" spans="2:3" ht="15.75" thickBot="1" x14ac:dyDescent="0.3">
      <c r="B21" s="78" t="s">
        <v>102</v>
      </c>
      <c r="C21" s="79" t="s">
        <v>103</v>
      </c>
    </row>
    <row r="22" spans="2:3" ht="18.75" customHeight="1" thickBot="1" x14ac:dyDescent="0.3">
      <c r="B22" s="80"/>
      <c r="C22" s="80"/>
    </row>
    <row r="23" spans="2:3" x14ac:dyDescent="0.25">
      <c r="B23" s="81" t="s">
        <v>104</v>
      </c>
      <c r="C23" s="82"/>
    </row>
    <row r="24" spans="2:3" x14ac:dyDescent="0.25">
      <c r="B24" s="83" t="s">
        <v>110</v>
      </c>
      <c r="C24" s="84" t="s">
        <v>111</v>
      </c>
    </row>
    <row r="25" spans="2:3" ht="30" x14ac:dyDescent="0.25">
      <c r="B25" s="85" t="s">
        <v>113</v>
      </c>
      <c r="C25" s="86" t="s">
        <v>112</v>
      </c>
    </row>
    <row r="26" spans="2:3" x14ac:dyDescent="0.25">
      <c r="B26" s="85" t="s">
        <v>114</v>
      </c>
      <c r="C26" s="86" t="s">
        <v>115</v>
      </c>
    </row>
    <row r="29" spans="2:3" ht="15.75" thickBot="1" x14ac:dyDescent="0.3"/>
    <row r="30" spans="2:3" ht="31.5" x14ac:dyDescent="0.5">
      <c r="B30" s="87" t="s">
        <v>105</v>
      </c>
      <c r="C30" s="88"/>
    </row>
    <row r="31" spans="2:3" ht="15.75" thickBot="1" x14ac:dyDescent="0.3">
      <c r="B31" s="14" t="s">
        <v>106</v>
      </c>
      <c r="C31" s="33"/>
    </row>
    <row r="34" spans="2:2" x14ac:dyDescent="0.25">
      <c r="B34" s="104" t="s">
        <v>120</v>
      </c>
    </row>
    <row r="36" spans="2:2" x14ac:dyDescent="0.25">
      <c r="B36" s="105"/>
    </row>
    <row r="38" spans="2:2" x14ac:dyDescent="0.25">
      <c r="B38" s="105"/>
    </row>
  </sheetData>
  <sheetProtection password="EA5E" sheet="1" objects="1" scenarios="1"/>
  <hyperlinks>
    <hyperlink ref="C9" location="'1. BC Gebiedsesco'!A1" display="Business case: Gebiedsesco"/>
    <hyperlink ref="C10" location="'2. BC Bedrijf'!A1" display="Business case: Bedrijf"/>
    <hyperlink ref="C11" location="'3. BC Parkmanager'!A1" display="Business case: Parkmanager"/>
  </hyperlink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42"/>
  <sheetViews>
    <sheetView showGridLines="0" workbookViewId="0"/>
  </sheetViews>
  <sheetFormatPr defaultRowHeight="15" x14ac:dyDescent="0.25"/>
  <cols>
    <col min="1" max="1" width="5.42578125" customWidth="1"/>
    <col min="2" max="2" width="26.28515625" customWidth="1"/>
    <col min="3" max="3" width="12.5703125" customWidth="1"/>
    <col min="4" max="4" width="12.85546875" customWidth="1"/>
    <col min="5" max="5" width="8" customWidth="1"/>
    <col min="6" max="6" width="7.140625" customWidth="1"/>
    <col min="7" max="7" width="32.42578125" customWidth="1"/>
    <col min="8" max="8" width="10.5703125" bestFit="1" customWidth="1"/>
    <col min="9" max="10" width="11.5703125" bestFit="1" customWidth="1"/>
    <col min="11" max="11" width="11.28515625" customWidth="1"/>
    <col min="12" max="13" width="11.5703125" bestFit="1" customWidth="1"/>
    <col min="14" max="19" width="10.5703125" bestFit="1" customWidth="1"/>
    <col min="20" max="20" width="9.140625" style="3"/>
  </cols>
  <sheetData>
    <row r="1" spans="1:20" ht="15.75" thickBot="1" x14ac:dyDescent="0.3">
      <c r="A1" s="25"/>
      <c r="B1" s="25"/>
      <c r="C1" s="25"/>
      <c r="D1" s="25"/>
      <c r="E1" s="25"/>
      <c r="F1" s="25"/>
      <c r="G1" s="25"/>
      <c r="H1" s="25"/>
      <c r="I1" s="25"/>
      <c r="J1" s="25"/>
      <c r="K1" s="25"/>
      <c r="L1" s="25"/>
      <c r="M1" s="25"/>
      <c r="N1" s="25"/>
      <c r="O1" s="25"/>
      <c r="P1" s="25"/>
      <c r="Q1" s="25"/>
      <c r="R1" s="25"/>
      <c r="S1" s="25"/>
    </row>
    <row r="2" spans="1:20" x14ac:dyDescent="0.25">
      <c r="A2" s="25"/>
      <c r="B2" s="16" t="s">
        <v>53</v>
      </c>
      <c r="C2" s="8"/>
      <c r="D2" s="8"/>
      <c r="E2" s="9"/>
      <c r="F2" s="25"/>
      <c r="G2" s="15" t="s">
        <v>60</v>
      </c>
      <c r="H2" s="8"/>
      <c r="I2" s="8"/>
      <c r="J2" s="8"/>
      <c r="K2" s="8"/>
      <c r="L2" s="8"/>
      <c r="M2" s="8"/>
      <c r="N2" s="8"/>
      <c r="O2" s="8"/>
      <c r="P2" s="8"/>
      <c r="Q2" s="8"/>
      <c r="R2" s="8"/>
      <c r="S2" s="9"/>
    </row>
    <row r="3" spans="1:20" x14ac:dyDescent="0.25">
      <c r="A3" s="25"/>
      <c r="B3" s="7"/>
      <c r="C3" s="11"/>
      <c r="D3" s="11"/>
      <c r="E3" s="12"/>
      <c r="F3" s="25"/>
      <c r="G3" s="10"/>
      <c r="H3" s="11"/>
      <c r="I3" s="11"/>
      <c r="J3" s="11"/>
      <c r="K3" s="11"/>
      <c r="L3" s="11"/>
      <c r="M3" s="11"/>
      <c r="N3" s="11"/>
      <c r="O3" s="11"/>
      <c r="P3" s="11"/>
      <c r="Q3" s="11"/>
      <c r="R3" s="11"/>
      <c r="S3" s="12"/>
    </row>
    <row r="4" spans="1:20" x14ac:dyDescent="0.25">
      <c r="A4" s="25"/>
      <c r="B4" s="36" t="s">
        <v>73</v>
      </c>
      <c r="C4" s="31" t="s">
        <v>74</v>
      </c>
      <c r="D4" s="31" t="s">
        <v>75</v>
      </c>
      <c r="E4" s="12"/>
      <c r="F4" s="25"/>
      <c r="G4" s="47" t="s">
        <v>81</v>
      </c>
      <c r="H4" s="51">
        <v>1</v>
      </c>
      <c r="I4" s="51">
        <v>2</v>
      </c>
      <c r="J4" s="51">
        <v>3</v>
      </c>
      <c r="K4" s="51">
        <v>4</v>
      </c>
      <c r="L4" s="51">
        <v>5</v>
      </c>
      <c r="M4" s="51">
        <v>6</v>
      </c>
      <c r="N4" s="51">
        <v>7</v>
      </c>
      <c r="O4" s="51">
        <v>8</v>
      </c>
      <c r="P4" s="51">
        <v>9</v>
      </c>
      <c r="Q4" s="51">
        <v>10</v>
      </c>
      <c r="R4" s="51">
        <v>11</v>
      </c>
      <c r="S4" s="52">
        <v>12</v>
      </c>
    </row>
    <row r="5" spans="1:20" x14ac:dyDescent="0.25">
      <c r="A5" s="25"/>
      <c r="B5" s="10" t="s">
        <v>40</v>
      </c>
      <c r="C5" s="107">
        <v>10000</v>
      </c>
      <c r="D5" s="107">
        <v>60000</v>
      </c>
      <c r="E5" s="91" t="s">
        <v>5</v>
      </c>
      <c r="F5" s="25"/>
      <c r="G5" s="48" t="s">
        <v>43</v>
      </c>
      <c r="H5" s="49"/>
      <c r="I5" s="49"/>
      <c r="J5" s="49"/>
      <c r="K5" s="49"/>
      <c r="L5" s="49"/>
      <c r="M5" s="49"/>
      <c r="N5" s="49"/>
      <c r="O5" s="49"/>
      <c r="P5" s="49"/>
      <c r="Q5" s="49"/>
      <c r="R5" s="49"/>
      <c r="S5" s="50"/>
    </row>
    <row r="6" spans="1:20" x14ac:dyDescent="0.25">
      <c r="A6" s="25"/>
      <c r="B6" s="10" t="s">
        <v>10</v>
      </c>
      <c r="C6" s="108">
        <v>5</v>
      </c>
      <c r="D6" s="108">
        <v>10</v>
      </c>
      <c r="E6" s="91" t="s">
        <v>39</v>
      </c>
      <c r="F6" s="25"/>
      <c r="G6" s="10" t="s">
        <v>76</v>
      </c>
      <c r="H6" s="11">
        <f>IF($B$20+$C$6-1&gt;=$H$4,$C$20,0)</f>
        <v>10</v>
      </c>
      <c r="I6" s="11">
        <f>IF($B$20+$C$6-1&gt;=I$4,$C$20,0)+IF($B$21+$C$6-1&gt;=I$4,$C$21,0)</f>
        <v>30</v>
      </c>
      <c r="J6" s="11">
        <f>IF($B$20+$C$6-1&gt;=J$4,$C$20,0)+IF($B$21+$C$6-1&gt;=J$4,$C$21,0)+IF($B$22+$C$6-1&gt;=J$4,$C$22,0)</f>
        <v>35</v>
      </c>
      <c r="K6" s="11">
        <f>IF($B$20+$C$6-1&gt;=K$4,$C$20,0)+IF($B$21+$C$6-1&gt;=K$4,$C$21,0)+IF($B$22+$C$6-1&gt;=K$4,$C$22,0)+IF($B$23+$C$6-1&gt;=K$4,$C$23,0)</f>
        <v>35</v>
      </c>
      <c r="L6" s="11">
        <f>IF($B$20+$C$6-1&gt;=L$4,$C$20,0)+IF($B$21+$C$6-1&gt;=L$4,$C$21,0)+IF($B$22+$C$6-1&gt;=L$4,$C$22,0)+IF($B$23+$C$6-1&gt;=L$4,$C$23,0)+IF($B$24+$C$6-1&gt;=L$4,$C$24,0)</f>
        <v>35</v>
      </c>
      <c r="M6" s="11">
        <f t="shared" ref="M6:S6" si="0">IF($B$20+$C$6-1&gt;=M$4,$C$20,0)+IF($B$21+$C$6-1&gt;=M$4,$C$21,0)+IF($B$22+$C$6-1&gt;=M$4,$C$22,0)+IF($B$23+$C$6-1&gt;=M$4,$C$23,0)+IF($B$24+$C$6-1&gt;=M$4,$C$24,0)</f>
        <v>25</v>
      </c>
      <c r="N6" s="11">
        <f t="shared" si="0"/>
        <v>5</v>
      </c>
      <c r="O6" s="11">
        <f t="shared" si="0"/>
        <v>0</v>
      </c>
      <c r="P6" s="11">
        <f t="shared" si="0"/>
        <v>0</v>
      </c>
      <c r="Q6" s="11">
        <f t="shared" si="0"/>
        <v>0</v>
      </c>
      <c r="R6" s="11">
        <f t="shared" si="0"/>
        <v>0</v>
      </c>
      <c r="S6" s="12">
        <f t="shared" si="0"/>
        <v>0</v>
      </c>
    </row>
    <row r="7" spans="1:20" x14ac:dyDescent="0.25">
      <c r="A7" s="25"/>
      <c r="B7" s="10"/>
      <c r="C7" s="11"/>
      <c r="D7" s="11"/>
      <c r="E7" s="12"/>
      <c r="F7" s="25"/>
      <c r="G7" s="10" t="s">
        <v>77</v>
      </c>
      <c r="H7" s="11">
        <f>IF($B$20+$D$6-1&gt;=$H$4,$D$20,0)</f>
        <v>5</v>
      </c>
      <c r="I7" s="11">
        <f>IF($B$20+$D$6-1&gt;=I$4,$D$20,0)+IF($B$21+$D$6-1&gt;=I$4,$D$21,0)</f>
        <v>15</v>
      </c>
      <c r="J7" s="11">
        <f>IF($B$20+$D$6-1&gt;=J$4,$D$20,0)+IF($B$21+$D$6-1&gt;=J$4,$D$21,0)+IF($B$22+$D$6-1&gt;=J$4,$D$22,0)</f>
        <v>20</v>
      </c>
      <c r="K7" s="11">
        <f>IF($B$20+$D$6-1&gt;=K$4,$D$20,0)+IF($B$21+$D$6-1&gt;=K$4,$D$21,0)+IF($B$22+$D$6-1&gt;=K$4,$D$22,0)+IF($B$23+$D$6-1&gt;=K$4,$D$23,0)</f>
        <v>20</v>
      </c>
      <c r="L7" s="11">
        <f>IF($B$20+$D$6-1&gt;=L$4,$D$20,0)+IF($B$21+$D$6-1&gt;=L$4,$D$21,0)+IF($B$22+$D$6-1&gt;=L$4,$D$22,0)+IF($B$23+$D$6-1&gt;=L$4,$D$23,0)+IF($B$24+$D$6-1&gt;=L$4,$D$24,0)</f>
        <v>20</v>
      </c>
      <c r="M7" s="11">
        <f t="shared" ref="M7:S7" si="1">IF($B$20+$D$6-1&gt;=M$4,$D$20,0)+IF($B$21+$D$6-1&gt;=M$4,$D$21,0)+IF($B$22+$D$6-1&gt;=M$4,$D$22,0)+IF($B$23+$D$6-1&gt;=M$4,$D$23,0)+IF($B$24+$D$6-1&gt;=M$4,$D$24,0)</f>
        <v>20</v>
      </c>
      <c r="N7" s="11">
        <f t="shared" si="1"/>
        <v>20</v>
      </c>
      <c r="O7" s="11">
        <f t="shared" si="1"/>
        <v>20</v>
      </c>
      <c r="P7" s="11">
        <f t="shared" si="1"/>
        <v>20</v>
      </c>
      <c r="Q7" s="11">
        <f t="shared" si="1"/>
        <v>20</v>
      </c>
      <c r="R7" s="11">
        <f t="shared" si="1"/>
        <v>15</v>
      </c>
      <c r="S7" s="12">
        <f t="shared" si="1"/>
        <v>5</v>
      </c>
    </row>
    <row r="8" spans="1:20" x14ac:dyDescent="0.25">
      <c r="A8" s="25"/>
      <c r="B8" s="90" t="s">
        <v>25</v>
      </c>
      <c r="C8" s="11"/>
      <c r="D8" s="11"/>
      <c r="E8" s="12"/>
      <c r="F8" s="25"/>
      <c r="G8" s="10" t="s">
        <v>41</v>
      </c>
      <c r="H8" s="56">
        <f>($C$20*$C$5+$D$20*$D$5)*0.975</f>
        <v>390000</v>
      </c>
      <c r="I8" s="56">
        <f>($C$21*$C$5+$D$21*$D$5)*0.975</f>
        <v>780000</v>
      </c>
      <c r="J8" s="56">
        <f>($C$22*$C$5+$D$22*$D$5)*0.975</f>
        <v>341250</v>
      </c>
      <c r="K8" s="56">
        <f>($C$23*$C$5+$D$23*$D$5)*0.975</f>
        <v>0</v>
      </c>
      <c r="L8" s="56">
        <f>($C$24*$C$5+$D$24*$D$5)*0.975</f>
        <v>0</v>
      </c>
      <c r="M8" s="56">
        <v>0</v>
      </c>
      <c r="N8" s="56">
        <v>0</v>
      </c>
      <c r="O8" s="56">
        <v>0</v>
      </c>
      <c r="P8" s="56">
        <v>0</v>
      </c>
      <c r="Q8" s="56">
        <v>0</v>
      </c>
      <c r="R8" s="56">
        <v>0</v>
      </c>
      <c r="S8" s="57">
        <v>0</v>
      </c>
    </row>
    <row r="9" spans="1:20" x14ac:dyDescent="0.25">
      <c r="A9" s="25"/>
      <c r="B9" s="10" t="s">
        <v>117</v>
      </c>
      <c r="C9" s="108">
        <v>7.5</v>
      </c>
      <c r="D9" s="92" t="s">
        <v>6</v>
      </c>
      <c r="E9" s="12"/>
      <c r="F9" s="25"/>
      <c r="G9" s="10" t="s">
        <v>42</v>
      </c>
      <c r="H9" s="56">
        <f>H8-H27</f>
        <v>351000</v>
      </c>
      <c r="I9" s="56">
        <f>H9+I8-I27</f>
        <v>1014000</v>
      </c>
      <c r="J9" s="56">
        <f t="shared" ref="J9:S9" si="2">I9+J8-J27</f>
        <v>1204125</v>
      </c>
      <c r="K9" s="56">
        <f t="shared" si="2"/>
        <v>1053000</v>
      </c>
      <c r="L9" s="56">
        <f t="shared" si="2"/>
        <v>901875</v>
      </c>
      <c r="M9" s="56">
        <f t="shared" si="2"/>
        <v>750750</v>
      </c>
      <c r="N9" s="56">
        <f t="shared" si="2"/>
        <v>599625</v>
      </c>
      <c r="O9" s="56">
        <f t="shared" si="2"/>
        <v>448500</v>
      </c>
      <c r="P9" s="56">
        <f t="shared" si="2"/>
        <v>297375</v>
      </c>
      <c r="Q9" s="56">
        <f t="shared" si="2"/>
        <v>146250</v>
      </c>
      <c r="R9" s="56">
        <f t="shared" si="2"/>
        <v>34125</v>
      </c>
      <c r="S9" s="57">
        <f t="shared" si="2"/>
        <v>0</v>
      </c>
      <c r="T9" s="3">
        <f>SUM(H8:S8)</f>
        <v>1511250</v>
      </c>
    </row>
    <row r="10" spans="1:20" x14ac:dyDescent="0.25">
      <c r="A10" s="25"/>
      <c r="B10" s="10" t="s">
        <v>36</v>
      </c>
      <c r="C10" s="108">
        <v>0.5</v>
      </c>
      <c r="D10" s="92" t="s">
        <v>6</v>
      </c>
      <c r="E10" s="12"/>
      <c r="F10" s="25"/>
      <c r="G10" s="44"/>
      <c r="H10" s="45"/>
      <c r="I10" s="45"/>
      <c r="J10" s="45"/>
      <c r="K10" s="45"/>
      <c r="L10" s="45"/>
      <c r="M10" s="45"/>
      <c r="N10" s="45"/>
      <c r="O10" s="45"/>
      <c r="P10" s="45"/>
      <c r="Q10" s="45"/>
      <c r="R10" s="45"/>
      <c r="S10" s="46"/>
    </row>
    <row r="11" spans="1:20" x14ac:dyDescent="0.25">
      <c r="A11" s="25"/>
      <c r="B11" s="10" t="s">
        <v>37</v>
      </c>
      <c r="C11" s="108">
        <v>0.5</v>
      </c>
      <c r="D11" s="92" t="s">
        <v>6</v>
      </c>
      <c r="E11" s="12"/>
      <c r="F11" s="25"/>
      <c r="G11" s="48" t="s">
        <v>44</v>
      </c>
      <c r="H11" s="49"/>
      <c r="I11" s="49"/>
      <c r="J11" s="49"/>
      <c r="K11" s="49"/>
      <c r="L11" s="49"/>
      <c r="M11" s="49"/>
      <c r="N11" s="49"/>
      <c r="O11" s="49"/>
      <c r="P11" s="49"/>
      <c r="Q11" s="49"/>
      <c r="R11" s="49"/>
      <c r="S11" s="50"/>
    </row>
    <row r="12" spans="1:20" s="25" customFormat="1" x14ac:dyDescent="0.25">
      <c r="B12" s="10" t="s">
        <v>38</v>
      </c>
      <c r="C12" s="108">
        <v>1.5</v>
      </c>
      <c r="D12" s="92" t="s">
        <v>6</v>
      </c>
      <c r="E12" s="12"/>
      <c r="G12" s="18" t="s">
        <v>45</v>
      </c>
      <c r="H12" s="11"/>
      <c r="I12" s="11"/>
      <c r="J12" s="11"/>
      <c r="K12" s="11"/>
      <c r="L12" s="11"/>
      <c r="M12" s="11"/>
      <c r="N12" s="11"/>
      <c r="O12" s="11"/>
      <c r="P12" s="11"/>
      <c r="Q12" s="11"/>
      <c r="R12" s="11"/>
      <c r="S12" s="12"/>
      <c r="T12" s="3"/>
    </row>
    <row r="13" spans="1:20" s="25" customFormat="1" x14ac:dyDescent="0.25">
      <c r="B13" s="22" t="s">
        <v>78</v>
      </c>
      <c r="C13" s="109">
        <v>5.125</v>
      </c>
      <c r="D13" s="92" t="s">
        <v>6</v>
      </c>
      <c r="E13" s="12"/>
      <c r="G13" s="10" t="s">
        <v>46</v>
      </c>
      <c r="H13" s="56">
        <f>($C$20*$C$5+$D$20*$D$5)*0.975</f>
        <v>390000</v>
      </c>
      <c r="I13" s="56">
        <f>($C$21*$C$5+$D$21*$D$5)*0.975</f>
        <v>780000</v>
      </c>
      <c r="J13" s="56">
        <f>($C$22*$C$5+$D$22*$D$5)*0.975</f>
        <v>341250</v>
      </c>
      <c r="K13" s="56">
        <f>($C$23*$C$5+$D$23*$D$5)*0.975</f>
        <v>0</v>
      </c>
      <c r="L13" s="56">
        <f>($C$24*$C$5+$D$24*$D$5)*0.975</f>
        <v>0</v>
      </c>
      <c r="M13" s="56">
        <v>0</v>
      </c>
      <c r="N13" s="56">
        <v>0</v>
      </c>
      <c r="O13" s="56">
        <v>0</v>
      </c>
      <c r="P13" s="56">
        <v>0</v>
      </c>
      <c r="Q13" s="56">
        <v>0</v>
      </c>
      <c r="R13" s="56">
        <v>0</v>
      </c>
      <c r="S13" s="57">
        <v>0</v>
      </c>
      <c r="T13" s="3"/>
    </row>
    <row r="14" spans="1:20" x14ac:dyDescent="0.25">
      <c r="A14" s="25"/>
      <c r="B14" s="22" t="s">
        <v>82</v>
      </c>
      <c r="C14" s="108">
        <v>10</v>
      </c>
      <c r="D14" s="92" t="s">
        <v>26</v>
      </c>
      <c r="E14" s="12"/>
      <c r="F14" s="25"/>
      <c r="G14" s="10" t="s">
        <v>47</v>
      </c>
      <c r="H14" s="56">
        <f>(PMT(($C$9/100),$C$6,-$C$5,0,0)+($C$10/100)*$C$5+($C$11/100)*$C$5+($C$12/100)*$C$5)*H6+(PMT(($C$9/100),$D$6,-$D$5,0,0)+($C$10/100)*$C$5+($C$11/100)*$C$5+($C$12/100)*$C$5)*H7</f>
        <v>72172.250006508722</v>
      </c>
      <c r="I14" s="56">
        <f>(PMT(($C$9/100),$C$6,-$C$5,0,0)+($C$10/100)*$C$5+($C$11/100)*$C$5+($C$12/100)*$C$5)*I6+(PMT(($C$9/100),$D$6,-$D$5,0,0)+($C$10/100)*$C$5+($C$11/100)*$C$5+($C$12/100)*$C$5)*I7</f>
        <v>216516.75001952617</v>
      </c>
      <c r="J14" s="56">
        <f t="shared" ref="J14:S14" si="3">(PMT(($C$9/100),$C$6,-$C$5,0,0)+($C$10/100)*$C$5+($C$11/100)*$C$5+($C$12/100)*$C$5)*J6+(PMT(($C$9/100),$D$6,-$D$5,0,0)+($C$10/100)*$C$5+($C$11/100)*$C$5+($C$12/100)*$C$5)*J7</f>
        <v>275080.76413669891</v>
      </c>
      <c r="K14" s="56">
        <f t="shared" si="3"/>
        <v>275080.76413669891</v>
      </c>
      <c r="L14" s="56">
        <f t="shared" si="3"/>
        <v>275080.76413669891</v>
      </c>
      <c r="M14" s="56">
        <f t="shared" si="3"/>
        <v>247864.29235802687</v>
      </c>
      <c r="N14" s="56">
        <f t="shared" si="3"/>
        <v>193431.34880068278</v>
      </c>
      <c r="O14" s="56">
        <f t="shared" si="3"/>
        <v>179823.11291134678</v>
      </c>
      <c r="P14" s="56">
        <f t="shared" si="3"/>
        <v>179823.11291134678</v>
      </c>
      <c r="Q14" s="56">
        <f t="shared" si="3"/>
        <v>179823.11291134678</v>
      </c>
      <c r="R14" s="56">
        <f t="shared" si="3"/>
        <v>134867.33468351007</v>
      </c>
      <c r="S14" s="57">
        <f t="shared" si="3"/>
        <v>44955.778227836694</v>
      </c>
      <c r="T14" s="3">
        <f>SUM(H13:S13)</f>
        <v>1511250</v>
      </c>
    </row>
    <row r="15" spans="1:20" ht="15.75" thickBot="1" x14ac:dyDescent="0.3">
      <c r="A15" s="25"/>
      <c r="B15" s="23" t="s">
        <v>79</v>
      </c>
      <c r="C15" s="110">
        <v>2</v>
      </c>
      <c r="D15" s="93" t="s">
        <v>80</v>
      </c>
      <c r="E15" s="33"/>
      <c r="F15" s="25"/>
      <c r="G15" s="34" t="s">
        <v>48</v>
      </c>
      <c r="H15" s="56">
        <f>H14</f>
        <v>72172.250006508722</v>
      </c>
      <c r="I15" s="56">
        <f t="shared" ref="I15:S15" si="4">I14</f>
        <v>216516.75001952617</v>
      </c>
      <c r="J15" s="56">
        <f t="shared" si="4"/>
        <v>275080.76413669891</v>
      </c>
      <c r="K15" s="56">
        <f t="shared" si="4"/>
        <v>275080.76413669891</v>
      </c>
      <c r="L15" s="56">
        <f t="shared" si="4"/>
        <v>275080.76413669891</v>
      </c>
      <c r="M15" s="56">
        <f t="shared" si="4"/>
        <v>247864.29235802687</v>
      </c>
      <c r="N15" s="56">
        <f t="shared" si="4"/>
        <v>193431.34880068278</v>
      </c>
      <c r="O15" s="56">
        <f t="shared" si="4"/>
        <v>179823.11291134678</v>
      </c>
      <c r="P15" s="56">
        <f t="shared" si="4"/>
        <v>179823.11291134678</v>
      </c>
      <c r="Q15" s="56">
        <f t="shared" si="4"/>
        <v>179823.11291134678</v>
      </c>
      <c r="R15" s="56">
        <f t="shared" si="4"/>
        <v>134867.33468351007</v>
      </c>
      <c r="S15" s="57">
        <f t="shared" si="4"/>
        <v>44955.778227836694</v>
      </c>
    </row>
    <row r="16" spans="1:20" s="25" customFormat="1" ht="15.75" thickBot="1" x14ac:dyDescent="0.3">
      <c r="E16"/>
      <c r="G16" s="10"/>
      <c r="H16" s="56"/>
      <c r="I16" s="56"/>
      <c r="J16" s="56"/>
      <c r="K16" s="56"/>
      <c r="L16" s="56"/>
      <c r="M16" s="56"/>
      <c r="N16" s="56"/>
      <c r="O16" s="56"/>
      <c r="P16" s="56"/>
      <c r="Q16" s="56"/>
      <c r="R16" s="56"/>
      <c r="S16" s="57"/>
      <c r="T16" s="3"/>
    </row>
    <row r="17" spans="1:20" s="25" customFormat="1" x14ac:dyDescent="0.25">
      <c r="B17" s="16" t="s">
        <v>35</v>
      </c>
      <c r="C17" s="8"/>
      <c r="D17" s="9"/>
      <c r="E17"/>
      <c r="G17" s="18" t="s">
        <v>14</v>
      </c>
      <c r="H17" s="56"/>
      <c r="I17" s="56"/>
      <c r="J17" s="56"/>
      <c r="K17" s="56"/>
      <c r="L17" s="56"/>
      <c r="M17" s="56"/>
      <c r="N17" s="56"/>
      <c r="O17" s="56"/>
      <c r="P17" s="56"/>
      <c r="Q17" s="56"/>
      <c r="R17" s="56"/>
      <c r="S17" s="57"/>
      <c r="T17" s="3"/>
    </row>
    <row r="18" spans="1:20" x14ac:dyDescent="0.25">
      <c r="A18" s="25"/>
      <c r="B18" s="10"/>
      <c r="C18" s="11"/>
      <c r="D18" s="12"/>
      <c r="G18" s="10" t="s">
        <v>49</v>
      </c>
      <c r="H18" s="56">
        <f>((H6*$C$5)/$C$6+(H7*$D$5)/$D$6)*0.975</f>
        <v>48750</v>
      </c>
      <c r="I18" s="56">
        <f>((I6*$C$5)/$C$6+(I7*$D$5)/$D$6)*0.975</f>
        <v>146250</v>
      </c>
      <c r="J18" s="56">
        <f t="shared" ref="J18:S18" si="5">((J6*$C$5)/$C$6+(J7*$D$5)/$D$6)*0.975</f>
        <v>185250</v>
      </c>
      <c r="K18" s="56">
        <f t="shared" si="5"/>
        <v>185250</v>
      </c>
      <c r="L18" s="56">
        <f t="shared" si="5"/>
        <v>185250</v>
      </c>
      <c r="M18" s="56">
        <f t="shared" si="5"/>
        <v>165750</v>
      </c>
      <c r="N18" s="56">
        <f t="shared" si="5"/>
        <v>126750</v>
      </c>
      <c r="O18" s="56">
        <f t="shared" si="5"/>
        <v>117000</v>
      </c>
      <c r="P18" s="56">
        <f>((P6*$C$5)/$C$6+(P7*$D$5)/$D$6)*0.975</f>
        <v>117000</v>
      </c>
      <c r="Q18" s="56">
        <f t="shared" si="5"/>
        <v>117000</v>
      </c>
      <c r="R18" s="56">
        <f t="shared" si="5"/>
        <v>87750</v>
      </c>
      <c r="S18" s="57">
        <f t="shared" si="5"/>
        <v>29250</v>
      </c>
    </row>
    <row r="19" spans="1:20" x14ac:dyDescent="0.25">
      <c r="A19" s="25"/>
      <c r="B19" s="36" t="s">
        <v>116</v>
      </c>
      <c r="C19" s="29" t="s">
        <v>74</v>
      </c>
      <c r="D19" s="32" t="s">
        <v>75</v>
      </c>
      <c r="G19" s="10" t="s">
        <v>50</v>
      </c>
      <c r="H19" s="56">
        <f>((H6*$C$5*$C$10/100)+(H7*$D$5*$C$10/100))*0.8</f>
        <v>1600</v>
      </c>
      <c r="I19" s="56">
        <f>((I6*$C$5*$C$10/100)+(I7*$D$5*$C$10/100))*0.8</f>
        <v>4800</v>
      </c>
      <c r="J19" s="56">
        <f>((J6*$C$5*$C$10/100)+(J7*$D$5*$C$10/100))*0.8</f>
        <v>6200</v>
      </c>
      <c r="K19" s="56">
        <f t="shared" ref="K19:S19" si="6">((K6*$C$5*$C$10/100)+(K7*$D$5*$C$10/100))*0.8</f>
        <v>6200</v>
      </c>
      <c r="L19" s="56">
        <f t="shared" si="6"/>
        <v>6200</v>
      </c>
      <c r="M19" s="56">
        <f t="shared" si="6"/>
        <v>5800</v>
      </c>
      <c r="N19" s="56">
        <f t="shared" si="6"/>
        <v>5000</v>
      </c>
      <c r="O19" s="56">
        <f t="shared" si="6"/>
        <v>4800</v>
      </c>
      <c r="P19" s="56">
        <f t="shared" si="6"/>
        <v>4800</v>
      </c>
      <c r="Q19" s="56">
        <f t="shared" si="6"/>
        <v>4800</v>
      </c>
      <c r="R19" s="56">
        <f t="shared" si="6"/>
        <v>3600</v>
      </c>
      <c r="S19" s="57">
        <f t="shared" si="6"/>
        <v>1200</v>
      </c>
      <c r="T19" s="42">
        <f>SUM(H18:S18)</f>
        <v>1511250</v>
      </c>
    </row>
    <row r="20" spans="1:20" x14ac:dyDescent="0.25">
      <c r="A20" s="25"/>
      <c r="B20" s="38">
        <v>1</v>
      </c>
      <c r="C20" s="108">
        <v>10</v>
      </c>
      <c r="D20" s="111">
        <v>5</v>
      </c>
      <c r="G20" s="10" t="s">
        <v>51</v>
      </c>
      <c r="H20" s="56">
        <f>((H6*$C$5*$C$11/100)+(H7*$D$5*$C$11/100))*0.8</f>
        <v>1600</v>
      </c>
      <c r="I20" s="56">
        <f t="shared" ref="I20:S20" si="7">((I6*$C$5*$C$11/100)+(I7*$D$5*$C$11/100))*0.8</f>
        <v>4800</v>
      </c>
      <c r="J20" s="56">
        <f t="shared" si="7"/>
        <v>6200</v>
      </c>
      <c r="K20" s="56">
        <f t="shared" si="7"/>
        <v>6200</v>
      </c>
      <c r="L20" s="56">
        <f t="shared" si="7"/>
        <v>6200</v>
      </c>
      <c r="M20" s="56">
        <f t="shared" si="7"/>
        <v>5800</v>
      </c>
      <c r="N20" s="56">
        <f t="shared" si="7"/>
        <v>5000</v>
      </c>
      <c r="O20" s="56">
        <f t="shared" si="7"/>
        <v>4800</v>
      </c>
      <c r="P20" s="56">
        <f t="shared" si="7"/>
        <v>4800</v>
      </c>
      <c r="Q20" s="56">
        <f t="shared" si="7"/>
        <v>4800</v>
      </c>
      <c r="R20" s="56">
        <f t="shared" si="7"/>
        <v>3600</v>
      </c>
      <c r="S20" s="57">
        <f t="shared" si="7"/>
        <v>1200</v>
      </c>
    </row>
    <row r="21" spans="1:20" x14ac:dyDescent="0.25">
      <c r="A21" s="25"/>
      <c r="B21" s="38">
        <v>2</v>
      </c>
      <c r="C21" s="108">
        <v>20</v>
      </c>
      <c r="D21" s="111">
        <v>10</v>
      </c>
      <c r="G21" s="10" t="s">
        <v>52</v>
      </c>
      <c r="H21" s="56">
        <f>((H6*$C$5*$C$12/100)+(H7*$D$5*$C$12/100))*0.8</f>
        <v>4800</v>
      </c>
      <c r="I21" s="56">
        <f t="shared" ref="I21:S21" si="8">((I6*$C$5*$C$12/100)+(I7*$D$5*$C$12/100))*0.8</f>
        <v>14400</v>
      </c>
      <c r="J21" s="56">
        <f t="shared" si="8"/>
        <v>18600</v>
      </c>
      <c r="K21" s="56">
        <f t="shared" si="8"/>
        <v>18600</v>
      </c>
      <c r="L21" s="56">
        <f t="shared" si="8"/>
        <v>18600</v>
      </c>
      <c r="M21" s="56">
        <f t="shared" si="8"/>
        <v>17400</v>
      </c>
      <c r="N21" s="56">
        <f t="shared" si="8"/>
        <v>15000</v>
      </c>
      <c r="O21" s="56">
        <f t="shared" si="8"/>
        <v>14400</v>
      </c>
      <c r="P21" s="56">
        <f t="shared" si="8"/>
        <v>14400</v>
      </c>
      <c r="Q21" s="56">
        <f t="shared" si="8"/>
        <v>14400</v>
      </c>
      <c r="R21" s="56">
        <f t="shared" si="8"/>
        <v>10800</v>
      </c>
      <c r="S21" s="57">
        <f t="shared" si="8"/>
        <v>3600</v>
      </c>
    </row>
    <row r="22" spans="1:20" x14ac:dyDescent="0.25">
      <c r="A22" s="25"/>
      <c r="B22" s="38">
        <v>3</v>
      </c>
      <c r="C22" s="108">
        <v>5</v>
      </c>
      <c r="D22" s="111">
        <v>5</v>
      </c>
      <c r="G22" s="37" t="s">
        <v>54</v>
      </c>
      <c r="H22" s="56">
        <f>($C$13/100)*((H8+H9)/2)</f>
        <v>18988.125</v>
      </c>
      <c r="I22" s="56">
        <f>($C$13/100)*((H9+I8+I9)/2)</f>
        <v>54965.625</v>
      </c>
      <c r="J22" s="56">
        <f t="shared" ref="J22:S22" si="9">($C$13/100)*((I9+J8+J9)/2)</f>
        <v>65583.984375</v>
      </c>
      <c r="K22" s="56">
        <f t="shared" si="9"/>
        <v>57838.828125</v>
      </c>
      <c r="L22" s="56">
        <f t="shared" si="9"/>
        <v>50093.671875</v>
      </c>
      <c r="M22" s="56">
        <f t="shared" si="9"/>
        <v>42348.515625</v>
      </c>
      <c r="N22" s="56">
        <f t="shared" si="9"/>
        <v>34603.359375</v>
      </c>
      <c r="O22" s="56">
        <f t="shared" si="9"/>
        <v>26858.203125</v>
      </c>
      <c r="P22" s="56">
        <f t="shared" si="9"/>
        <v>19113.046875</v>
      </c>
      <c r="Q22" s="56">
        <f t="shared" si="9"/>
        <v>11367.890625</v>
      </c>
      <c r="R22" s="56">
        <f t="shared" si="9"/>
        <v>4622.109375</v>
      </c>
      <c r="S22" s="57">
        <f t="shared" si="9"/>
        <v>874.453125</v>
      </c>
    </row>
    <row r="23" spans="1:20" x14ac:dyDescent="0.25">
      <c r="A23" s="25"/>
      <c r="B23" s="39">
        <v>4</v>
      </c>
      <c r="C23" s="108">
        <v>0</v>
      </c>
      <c r="D23" s="111">
        <v>0</v>
      </c>
      <c r="G23" s="34" t="s">
        <v>22</v>
      </c>
      <c r="H23" s="56">
        <f t="shared" ref="H23:S23" si="10">SUM(H18:H22)</f>
        <v>75738.125</v>
      </c>
      <c r="I23" s="56">
        <f>SUM(I18:I22)</f>
        <v>225215.625</v>
      </c>
      <c r="J23" s="56">
        <f t="shared" si="10"/>
        <v>281833.984375</v>
      </c>
      <c r="K23" s="56">
        <f t="shared" si="10"/>
        <v>274088.828125</v>
      </c>
      <c r="L23" s="56">
        <f t="shared" si="10"/>
        <v>266343.671875</v>
      </c>
      <c r="M23" s="56">
        <f t="shared" si="10"/>
        <v>237098.515625</v>
      </c>
      <c r="N23" s="56">
        <f t="shared" si="10"/>
        <v>186353.359375</v>
      </c>
      <c r="O23" s="56">
        <f t="shared" si="10"/>
        <v>167858.203125</v>
      </c>
      <c r="P23" s="56">
        <f t="shared" si="10"/>
        <v>160113.046875</v>
      </c>
      <c r="Q23" s="56">
        <f t="shared" si="10"/>
        <v>152367.890625</v>
      </c>
      <c r="R23" s="56">
        <f t="shared" si="10"/>
        <v>110372.109375</v>
      </c>
      <c r="S23" s="57">
        <f t="shared" si="10"/>
        <v>36124.453125</v>
      </c>
    </row>
    <row r="24" spans="1:20" ht="15.75" thickBot="1" x14ac:dyDescent="0.3">
      <c r="A24" s="25"/>
      <c r="B24" s="40">
        <v>5</v>
      </c>
      <c r="C24" s="110">
        <v>0</v>
      </c>
      <c r="D24" s="112">
        <v>0</v>
      </c>
      <c r="G24" s="10"/>
      <c r="H24" s="56"/>
      <c r="I24" s="56"/>
      <c r="J24" s="56"/>
      <c r="K24" s="56"/>
      <c r="L24" s="56"/>
      <c r="M24" s="56"/>
      <c r="N24" s="56"/>
      <c r="O24" s="56"/>
      <c r="P24" s="56"/>
      <c r="Q24" s="56"/>
      <c r="R24" s="56"/>
      <c r="S24" s="57"/>
    </row>
    <row r="25" spans="1:20" ht="15.75" thickBot="1" x14ac:dyDescent="0.3">
      <c r="A25" s="25"/>
      <c r="G25" s="34" t="s">
        <v>56</v>
      </c>
      <c r="H25" s="56">
        <f t="shared" ref="H25:S25" si="11">H15-H23</f>
        <v>-3565.8749934912776</v>
      </c>
      <c r="I25" s="56">
        <f>I15-I23</f>
        <v>-8698.8749804738327</v>
      </c>
      <c r="J25" s="56">
        <f t="shared" si="11"/>
        <v>-6753.2202383010881</v>
      </c>
      <c r="K25" s="56">
        <f t="shared" si="11"/>
        <v>991.9360116989119</v>
      </c>
      <c r="L25" s="56">
        <f t="shared" si="11"/>
        <v>8737.0922616989119</v>
      </c>
      <c r="M25" s="56">
        <f t="shared" si="11"/>
        <v>10765.776733026869</v>
      </c>
      <c r="N25" s="56">
        <f t="shared" si="11"/>
        <v>7077.9894256827829</v>
      </c>
      <c r="O25" s="56">
        <f t="shared" si="11"/>
        <v>11964.909786346776</v>
      </c>
      <c r="P25" s="56">
        <f t="shared" si="11"/>
        <v>19710.066036346776</v>
      </c>
      <c r="Q25" s="56">
        <f t="shared" si="11"/>
        <v>27455.222286346776</v>
      </c>
      <c r="R25" s="56">
        <f t="shared" si="11"/>
        <v>24495.225308510067</v>
      </c>
      <c r="S25" s="57">
        <f t="shared" si="11"/>
        <v>8831.325102836694</v>
      </c>
    </row>
    <row r="26" spans="1:20" ht="15.75" thickBot="1" x14ac:dyDescent="0.3">
      <c r="A26" s="25"/>
      <c r="B26" s="94" t="s">
        <v>118</v>
      </c>
      <c r="G26" s="34" t="s">
        <v>57</v>
      </c>
      <c r="H26" s="56">
        <f>0.775*H25</f>
        <v>-2763.5531199557404</v>
      </c>
      <c r="I26" s="56">
        <f t="shared" ref="I26:S26" si="12">0.775*I25</f>
        <v>-6741.6281098672207</v>
      </c>
      <c r="J26" s="56">
        <f t="shared" si="12"/>
        <v>-5233.7456846833438</v>
      </c>
      <c r="K26" s="56">
        <f t="shared" si="12"/>
        <v>768.75040906665674</v>
      </c>
      <c r="L26" s="56">
        <f t="shared" si="12"/>
        <v>6771.2465028166571</v>
      </c>
      <c r="M26" s="56">
        <f t="shared" si="12"/>
        <v>8343.4769680958234</v>
      </c>
      <c r="N26" s="56">
        <f t="shared" si="12"/>
        <v>5485.4418049041569</v>
      </c>
      <c r="O26" s="56">
        <f t="shared" si="12"/>
        <v>9272.805084418751</v>
      </c>
      <c r="P26" s="56">
        <f t="shared" si="12"/>
        <v>15275.301178168751</v>
      </c>
      <c r="Q26" s="56">
        <f t="shared" si="12"/>
        <v>21277.797271918753</v>
      </c>
      <c r="R26" s="56">
        <f t="shared" si="12"/>
        <v>18983.799614095304</v>
      </c>
      <c r="S26" s="57">
        <f t="shared" si="12"/>
        <v>6844.2769546984382</v>
      </c>
    </row>
    <row r="27" spans="1:20" x14ac:dyDescent="0.25">
      <c r="A27" s="25"/>
      <c r="G27" s="34" t="s">
        <v>55</v>
      </c>
      <c r="H27" s="56">
        <f>H8/$C$14</f>
        <v>39000</v>
      </c>
      <c r="I27" s="56">
        <f>(H$8+I$8)/$C$14</f>
        <v>117000</v>
      </c>
      <c r="J27" s="56">
        <f>($H$8+$I$8+$J$8)/$C$14</f>
        <v>151125</v>
      </c>
      <c r="K27" s="56">
        <f>($H$8+$I$8+$J$8+$K$8)/$C$14</f>
        <v>151125</v>
      </c>
      <c r="L27" s="56">
        <f>($H$8+$I$8+$J$8+$K$8+$L$8)/$C$14</f>
        <v>151125</v>
      </c>
      <c r="M27" s="56">
        <f t="shared" ref="M27:Q27" si="13">($H$8+$I$8+$J$8+$K$8+$L$8)/$C$14</f>
        <v>151125</v>
      </c>
      <c r="N27" s="56">
        <f t="shared" si="13"/>
        <v>151125</v>
      </c>
      <c r="O27" s="56">
        <f t="shared" si="13"/>
        <v>151125</v>
      </c>
      <c r="P27" s="56">
        <f t="shared" si="13"/>
        <v>151125</v>
      </c>
      <c r="Q27" s="56">
        <f t="shared" si="13"/>
        <v>151125</v>
      </c>
      <c r="R27" s="56">
        <f>($I$8+$J$8+$K$8+$L$8)/$C$14</f>
        <v>112125</v>
      </c>
      <c r="S27" s="57">
        <f>($J$8+$K$8+$L$8)/$C$14</f>
        <v>34125</v>
      </c>
    </row>
    <row r="28" spans="1:20" x14ac:dyDescent="0.25">
      <c r="A28" s="25"/>
      <c r="G28" s="34" t="s">
        <v>58</v>
      </c>
      <c r="H28" s="56">
        <f t="shared" ref="H28:S28" si="14">H18+H26-H27</f>
        <v>6986.4468800442628</v>
      </c>
      <c r="I28" s="56">
        <f>I18+I26-I27</f>
        <v>22508.371890132781</v>
      </c>
      <c r="J28" s="56">
        <f t="shared" si="14"/>
        <v>28891.254315316648</v>
      </c>
      <c r="K28" s="56">
        <f t="shared" si="14"/>
        <v>34893.750409066648</v>
      </c>
      <c r="L28" s="56">
        <f t="shared" si="14"/>
        <v>40896.246502816648</v>
      </c>
      <c r="M28" s="56">
        <f t="shared" si="14"/>
        <v>22968.476968095812</v>
      </c>
      <c r="N28" s="56">
        <f t="shared" si="14"/>
        <v>-18889.558195095829</v>
      </c>
      <c r="O28" s="56">
        <f t="shared" si="14"/>
        <v>-24852.194915581247</v>
      </c>
      <c r="P28" s="56">
        <f t="shared" si="14"/>
        <v>-18849.698821831262</v>
      </c>
      <c r="Q28" s="56">
        <f t="shared" si="14"/>
        <v>-12847.202728081262</v>
      </c>
      <c r="R28" s="56">
        <f t="shared" si="14"/>
        <v>-5391.2003859046963</v>
      </c>
      <c r="S28" s="57">
        <f t="shared" si="14"/>
        <v>1969.2769546984346</v>
      </c>
      <c r="T28" s="43">
        <f>SUM(H27:S27)</f>
        <v>1511250</v>
      </c>
    </row>
    <row r="29" spans="1:20" x14ac:dyDescent="0.25">
      <c r="A29" s="25"/>
      <c r="G29" s="34" t="s">
        <v>59</v>
      </c>
      <c r="H29" s="56">
        <f>H28</f>
        <v>6986.4468800442628</v>
      </c>
      <c r="I29" s="56">
        <f>H29+I28</f>
        <v>29494.818770177044</v>
      </c>
      <c r="J29" s="56">
        <f>I29+J28</f>
        <v>58386.073085493692</v>
      </c>
      <c r="K29" s="56">
        <f t="shared" ref="K29:S29" si="15">J29+K28</f>
        <v>93279.823494560347</v>
      </c>
      <c r="L29" s="56">
        <f t="shared" si="15"/>
        <v>134176.069997377</v>
      </c>
      <c r="M29" s="56">
        <f t="shared" si="15"/>
        <v>157144.54696547281</v>
      </c>
      <c r="N29" s="56">
        <f t="shared" si="15"/>
        <v>138254.98877037698</v>
      </c>
      <c r="O29" s="56">
        <f t="shared" si="15"/>
        <v>113402.79385479573</v>
      </c>
      <c r="P29" s="56">
        <f t="shared" si="15"/>
        <v>94553.095032964469</v>
      </c>
      <c r="Q29" s="56">
        <f t="shared" si="15"/>
        <v>81705.892304883208</v>
      </c>
      <c r="R29" s="56">
        <f t="shared" si="15"/>
        <v>76314.691918978511</v>
      </c>
      <c r="S29" s="57">
        <f t="shared" si="15"/>
        <v>78283.968873676946</v>
      </c>
      <c r="T29" s="43"/>
    </row>
    <row r="30" spans="1:20" x14ac:dyDescent="0.25">
      <c r="A30" s="25"/>
      <c r="G30" s="44"/>
      <c r="H30" s="45"/>
      <c r="I30" s="45"/>
      <c r="J30" s="45"/>
      <c r="K30" s="45"/>
      <c r="L30" s="45"/>
      <c r="M30" s="45"/>
      <c r="N30" s="45"/>
      <c r="O30" s="45"/>
      <c r="P30" s="45"/>
      <c r="Q30" s="45"/>
      <c r="R30" s="45"/>
      <c r="S30" s="46"/>
    </row>
    <row r="31" spans="1:20" x14ac:dyDescent="0.25">
      <c r="A31" s="25"/>
      <c r="G31" s="48" t="s">
        <v>61</v>
      </c>
      <c r="H31" s="49"/>
      <c r="I31" s="49"/>
      <c r="J31" s="49"/>
      <c r="K31" s="49"/>
      <c r="L31" s="49"/>
      <c r="M31" s="49"/>
      <c r="N31" s="49"/>
      <c r="O31" s="49"/>
      <c r="P31" s="49"/>
      <c r="Q31" s="49"/>
      <c r="R31" s="49"/>
      <c r="S31" s="50"/>
    </row>
    <row r="32" spans="1:20" x14ac:dyDescent="0.25">
      <c r="A32" s="25"/>
      <c r="G32" s="18" t="s">
        <v>62</v>
      </c>
      <c r="H32" s="11"/>
      <c r="I32" s="11"/>
      <c r="J32" s="11"/>
      <c r="K32" s="11"/>
      <c r="L32" s="11"/>
      <c r="M32" s="11"/>
      <c r="N32" s="11"/>
      <c r="O32" s="11"/>
      <c r="P32" s="11"/>
      <c r="Q32" s="11"/>
      <c r="R32" s="11"/>
      <c r="S32" s="12"/>
    </row>
    <row r="33" spans="1:19" x14ac:dyDescent="0.25">
      <c r="A33" s="25"/>
      <c r="G33" s="10" t="s">
        <v>63</v>
      </c>
      <c r="H33" s="56">
        <f>H8-H18</f>
        <v>341250</v>
      </c>
      <c r="I33" s="56">
        <f>H33+I8-I18</f>
        <v>975000</v>
      </c>
      <c r="J33" s="56">
        <f t="shared" ref="J33:S33" si="16">I33+J8-J18</f>
        <v>1131000</v>
      </c>
      <c r="K33" s="56">
        <f t="shared" si="16"/>
        <v>945750</v>
      </c>
      <c r="L33" s="56">
        <f t="shared" si="16"/>
        <v>760500</v>
      </c>
      <c r="M33" s="56">
        <f t="shared" si="16"/>
        <v>594750</v>
      </c>
      <c r="N33" s="56">
        <f t="shared" si="16"/>
        <v>468000</v>
      </c>
      <c r="O33" s="56">
        <f t="shared" si="16"/>
        <v>351000</v>
      </c>
      <c r="P33" s="56">
        <f t="shared" si="16"/>
        <v>234000</v>
      </c>
      <c r="Q33" s="56">
        <f t="shared" si="16"/>
        <v>117000</v>
      </c>
      <c r="R33" s="56">
        <f t="shared" si="16"/>
        <v>29250</v>
      </c>
      <c r="S33" s="57">
        <f t="shared" si="16"/>
        <v>0</v>
      </c>
    </row>
    <row r="34" spans="1:19" x14ac:dyDescent="0.25">
      <c r="G34" s="10" t="s">
        <v>70</v>
      </c>
      <c r="H34" s="56">
        <f>H14/12</f>
        <v>6014.3541672090605</v>
      </c>
      <c r="I34" s="56">
        <f t="shared" ref="I34:S34" si="17">I14/12</f>
        <v>18043.062501627181</v>
      </c>
      <c r="J34" s="56">
        <f t="shared" si="17"/>
        <v>22923.397011391575</v>
      </c>
      <c r="K34" s="56">
        <f t="shared" si="17"/>
        <v>22923.397011391575</v>
      </c>
      <c r="L34" s="56">
        <f t="shared" si="17"/>
        <v>22923.397011391575</v>
      </c>
      <c r="M34" s="56">
        <f t="shared" si="17"/>
        <v>20655.35769650224</v>
      </c>
      <c r="N34" s="56">
        <f t="shared" si="17"/>
        <v>16119.279066723566</v>
      </c>
      <c r="O34" s="56">
        <f t="shared" si="17"/>
        <v>14985.259409278899</v>
      </c>
      <c r="P34" s="56">
        <f t="shared" si="17"/>
        <v>14985.259409278899</v>
      </c>
      <c r="Q34" s="56">
        <f t="shared" si="17"/>
        <v>14985.259409278899</v>
      </c>
      <c r="R34" s="56">
        <f t="shared" si="17"/>
        <v>11238.944556959172</v>
      </c>
      <c r="S34" s="57">
        <f t="shared" si="17"/>
        <v>3746.3148523197247</v>
      </c>
    </row>
    <row r="35" spans="1:19" x14ac:dyDescent="0.25">
      <c r="G35" s="10" t="s">
        <v>64</v>
      </c>
      <c r="H35" s="56">
        <f>H29</f>
        <v>6986.4468800442628</v>
      </c>
      <c r="I35" s="56">
        <f t="shared" ref="I35:S35" si="18">I29</f>
        <v>29494.818770177044</v>
      </c>
      <c r="J35" s="56">
        <f t="shared" si="18"/>
        <v>58386.073085493692</v>
      </c>
      <c r="K35" s="56">
        <f t="shared" si="18"/>
        <v>93279.823494560347</v>
      </c>
      <c r="L35" s="56">
        <f t="shared" si="18"/>
        <v>134176.069997377</v>
      </c>
      <c r="M35" s="56">
        <f t="shared" si="18"/>
        <v>157144.54696547281</v>
      </c>
      <c r="N35" s="56">
        <f t="shared" si="18"/>
        <v>138254.98877037698</v>
      </c>
      <c r="O35" s="56">
        <f t="shared" si="18"/>
        <v>113402.79385479573</v>
      </c>
      <c r="P35" s="56">
        <f t="shared" si="18"/>
        <v>94553.095032964469</v>
      </c>
      <c r="Q35" s="56">
        <f t="shared" si="18"/>
        <v>81705.892304883208</v>
      </c>
      <c r="R35" s="56">
        <f t="shared" si="18"/>
        <v>76314.691918978511</v>
      </c>
      <c r="S35" s="57">
        <f t="shared" si="18"/>
        <v>78283.968873676946</v>
      </c>
    </row>
    <row r="36" spans="1:19" x14ac:dyDescent="0.25">
      <c r="G36" s="34" t="s">
        <v>65</v>
      </c>
      <c r="H36" s="56">
        <f>SUM(H33:H35)</f>
        <v>354250.80104725331</v>
      </c>
      <c r="I36" s="56">
        <f t="shared" ref="I36:S36" si="19">SUM(I33:I35)</f>
        <v>1022537.8812718042</v>
      </c>
      <c r="J36" s="56">
        <f t="shared" si="19"/>
        <v>1212309.4700968852</v>
      </c>
      <c r="K36" s="56">
        <f t="shared" si="19"/>
        <v>1061953.2205059519</v>
      </c>
      <c r="L36" s="56">
        <f t="shared" si="19"/>
        <v>917599.46700876858</v>
      </c>
      <c r="M36" s="56">
        <f t="shared" si="19"/>
        <v>772549.9046619751</v>
      </c>
      <c r="N36" s="56">
        <f t="shared" si="19"/>
        <v>622374.26783710055</v>
      </c>
      <c r="O36" s="56">
        <f t="shared" si="19"/>
        <v>479388.05326407467</v>
      </c>
      <c r="P36" s="56">
        <f t="shared" si="19"/>
        <v>343538.35444224335</v>
      </c>
      <c r="Q36" s="56">
        <f t="shared" si="19"/>
        <v>213691.15171416209</v>
      </c>
      <c r="R36" s="56">
        <f t="shared" si="19"/>
        <v>116803.63647593767</v>
      </c>
      <c r="S36" s="57">
        <f t="shared" si="19"/>
        <v>82030.283725996676</v>
      </c>
    </row>
    <row r="37" spans="1:19" x14ac:dyDescent="0.25">
      <c r="G37" s="10"/>
      <c r="H37" s="56"/>
      <c r="I37" s="56"/>
      <c r="J37" s="56"/>
      <c r="K37" s="56"/>
      <c r="L37" s="56"/>
      <c r="M37" s="56"/>
      <c r="N37" s="56"/>
      <c r="O37" s="56"/>
      <c r="P37" s="56"/>
      <c r="Q37" s="56"/>
      <c r="R37" s="56"/>
      <c r="S37" s="57"/>
    </row>
    <row r="38" spans="1:19" x14ac:dyDescent="0.25">
      <c r="G38" s="18" t="s">
        <v>66</v>
      </c>
      <c r="H38" s="56"/>
      <c r="I38" s="56"/>
      <c r="J38" s="56"/>
      <c r="K38" s="56"/>
      <c r="L38" s="56"/>
      <c r="M38" s="56"/>
      <c r="N38" s="56"/>
      <c r="O38" s="56"/>
      <c r="P38" s="56"/>
      <c r="Q38" s="56"/>
      <c r="R38" s="56"/>
      <c r="S38" s="57"/>
    </row>
    <row r="39" spans="1:19" x14ac:dyDescent="0.25">
      <c r="G39" s="10" t="s">
        <v>67</v>
      </c>
      <c r="H39" s="56">
        <f>H42-H41-H40</f>
        <v>-8777.907287164815</v>
      </c>
      <c r="I39" s="56">
        <f>I42-I41-I40</f>
        <v>-27548.243731450144</v>
      </c>
      <c r="J39" s="56">
        <f t="shared" ref="J39:S39" si="20">J42-J41-J40</f>
        <v>-37662.323925897923</v>
      </c>
      <c r="K39" s="56">
        <f t="shared" si="20"/>
        <v>-36893.573516831246</v>
      </c>
      <c r="L39" s="56">
        <f t="shared" si="20"/>
        <v>-30122.327014014569</v>
      </c>
      <c r="M39" s="56">
        <f t="shared" si="20"/>
        <v>-19510.810731029378</v>
      </c>
      <c r="N39" s="56">
        <f t="shared" si="20"/>
        <v>-9489.2902963465858</v>
      </c>
      <c r="O39" s="56">
        <f t="shared" si="20"/>
        <v>917.53444551687062</v>
      </c>
      <c r="P39" s="56">
        <f t="shared" si="20"/>
        <v>16192.835623685551</v>
      </c>
      <c r="Q39" s="56">
        <f t="shared" si="20"/>
        <v>37470.632895604285</v>
      </c>
      <c r="R39" s="56">
        <f t="shared" si="20"/>
        <v>60200.747362019334</v>
      </c>
      <c r="S39" s="57">
        <f t="shared" si="20"/>
        <v>74537.65402135723</v>
      </c>
    </row>
    <row r="40" spans="1:19" x14ac:dyDescent="0.25">
      <c r="G40" s="10" t="s">
        <v>79</v>
      </c>
      <c r="H40" s="56">
        <f>(H14/12)*$C$15</f>
        <v>12028.708334418121</v>
      </c>
      <c r="I40" s="56">
        <f t="shared" ref="I40:S40" si="21">(I14/12)*$C$15</f>
        <v>36086.125003254361</v>
      </c>
      <c r="J40" s="56">
        <f t="shared" si="21"/>
        <v>45846.79402278315</v>
      </c>
      <c r="K40" s="56">
        <f t="shared" si="21"/>
        <v>45846.79402278315</v>
      </c>
      <c r="L40" s="56">
        <f t="shared" si="21"/>
        <v>45846.79402278315</v>
      </c>
      <c r="M40" s="56">
        <f t="shared" si="21"/>
        <v>41310.715393004481</v>
      </c>
      <c r="N40" s="56">
        <f t="shared" si="21"/>
        <v>32238.558133447132</v>
      </c>
      <c r="O40" s="56">
        <f t="shared" si="21"/>
        <v>29970.518818557797</v>
      </c>
      <c r="P40" s="56">
        <f t="shared" si="21"/>
        <v>29970.518818557797</v>
      </c>
      <c r="Q40" s="56">
        <f t="shared" si="21"/>
        <v>29970.518818557797</v>
      </c>
      <c r="R40" s="56">
        <f t="shared" si="21"/>
        <v>22477.889113918343</v>
      </c>
      <c r="S40" s="57">
        <f t="shared" si="21"/>
        <v>7492.6297046394493</v>
      </c>
    </row>
    <row r="41" spans="1:19" x14ac:dyDescent="0.25">
      <c r="G41" s="10" t="s">
        <v>68</v>
      </c>
      <c r="H41" s="56">
        <f>H9</f>
        <v>351000</v>
      </c>
      <c r="I41" s="56">
        <f t="shared" ref="I41:S41" si="22">I9</f>
        <v>1014000</v>
      </c>
      <c r="J41" s="56">
        <f t="shared" si="22"/>
        <v>1204125</v>
      </c>
      <c r="K41" s="56">
        <f t="shared" si="22"/>
        <v>1053000</v>
      </c>
      <c r="L41" s="56">
        <f t="shared" si="22"/>
        <v>901875</v>
      </c>
      <c r="M41" s="56">
        <f t="shared" si="22"/>
        <v>750750</v>
      </c>
      <c r="N41" s="56">
        <f t="shared" si="22"/>
        <v>599625</v>
      </c>
      <c r="O41" s="56">
        <f t="shared" si="22"/>
        <v>448500</v>
      </c>
      <c r="P41" s="56">
        <f t="shared" si="22"/>
        <v>297375</v>
      </c>
      <c r="Q41" s="56">
        <f t="shared" si="22"/>
        <v>146250</v>
      </c>
      <c r="R41" s="56">
        <f t="shared" si="22"/>
        <v>34125</v>
      </c>
      <c r="S41" s="57">
        <f t="shared" si="22"/>
        <v>0</v>
      </c>
    </row>
    <row r="42" spans="1:19" ht="15.75" thickBot="1" x14ac:dyDescent="0.3">
      <c r="G42" s="35" t="s">
        <v>69</v>
      </c>
      <c r="H42" s="58">
        <f>H36</f>
        <v>354250.80104725331</v>
      </c>
      <c r="I42" s="58">
        <f t="shared" ref="I42:S42" si="23">I36</f>
        <v>1022537.8812718042</v>
      </c>
      <c r="J42" s="58">
        <f t="shared" si="23"/>
        <v>1212309.4700968852</v>
      </c>
      <c r="K42" s="58">
        <f t="shared" si="23"/>
        <v>1061953.2205059519</v>
      </c>
      <c r="L42" s="58">
        <f t="shared" si="23"/>
        <v>917599.46700876858</v>
      </c>
      <c r="M42" s="58">
        <f t="shared" si="23"/>
        <v>772549.9046619751</v>
      </c>
      <c r="N42" s="58">
        <f t="shared" si="23"/>
        <v>622374.26783710055</v>
      </c>
      <c r="O42" s="58">
        <f t="shared" si="23"/>
        <v>479388.05326407467</v>
      </c>
      <c r="P42" s="58">
        <f t="shared" si="23"/>
        <v>343538.35444224335</v>
      </c>
      <c r="Q42" s="58">
        <f t="shared" si="23"/>
        <v>213691.15171416209</v>
      </c>
      <c r="R42" s="58">
        <f t="shared" si="23"/>
        <v>116803.63647593767</v>
      </c>
      <c r="S42" s="59">
        <f t="shared" si="23"/>
        <v>82030.283725996676</v>
      </c>
    </row>
  </sheetData>
  <sheetProtection password="EA5E" sheet="1" objects="1" scenarios="1"/>
  <hyperlinks>
    <hyperlink ref="B26" location="'0. Startpagina'!A1" display="GA NAAR DE STARTPAGINA"/>
  </hyperlink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7"/>
  <sheetViews>
    <sheetView showGridLines="0" workbookViewId="0"/>
  </sheetViews>
  <sheetFormatPr defaultRowHeight="15" x14ac:dyDescent="0.25"/>
  <cols>
    <col min="1" max="1" width="5.42578125" style="25" customWidth="1"/>
    <col min="2" max="2" width="36.5703125" customWidth="1"/>
    <col min="3" max="3" width="12.7109375" customWidth="1"/>
    <col min="4" max="4" width="14.85546875" customWidth="1"/>
    <col min="5" max="5" width="5.7109375" customWidth="1"/>
    <col min="6" max="6" width="29.85546875" customWidth="1"/>
    <col min="7" max="7" width="17.140625" customWidth="1"/>
    <col min="8" max="8" width="22.42578125" customWidth="1"/>
  </cols>
  <sheetData>
    <row r="1" spans="2:6" s="25" customFormat="1" ht="15.75" thickBot="1" x14ac:dyDescent="0.3"/>
    <row r="2" spans="2:6" ht="15.75" thickBot="1" x14ac:dyDescent="0.3">
      <c r="B2" s="16" t="s">
        <v>11</v>
      </c>
      <c r="C2" s="8"/>
      <c r="D2" s="9"/>
      <c r="F2" s="94" t="s">
        <v>118</v>
      </c>
    </row>
    <row r="3" spans="2:6" x14ac:dyDescent="0.25">
      <c r="B3" s="13"/>
      <c r="C3" s="11"/>
      <c r="D3" s="12"/>
    </row>
    <row r="4" spans="2:6" x14ac:dyDescent="0.25">
      <c r="B4" s="10" t="s">
        <v>34</v>
      </c>
      <c r="C4" s="113">
        <v>200000</v>
      </c>
      <c r="D4" s="91" t="s">
        <v>31</v>
      </c>
    </row>
    <row r="5" spans="2:6" ht="15.75" thickBot="1" x14ac:dyDescent="0.3">
      <c r="B5" s="14" t="s">
        <v>12</v>
      </c>
      <c r="C5" s="114">
        <v>0.12</v>
      </c>
      <c r="D5" s="95" t="s">
        <v>5</v>
      </c>
    </row>
    <row r="6" spans="2:6" ht="15.75" thickBot="1" x14ac:dyDescent="0.3">
      <c r="B6" s="11"/>
      <c r="C6" s="11"/>
      <c r="D6" s="92"/>
    </row>
    <row r="7" spans="2:6" x14ac:dyDescent="0.25">
      <c r="B7" s="16" t="s">
        <v>90</v>
      </c>
      <c r="C7" s="8"/>
      <c r="D7" s="96"/>
    </row>
    <row r="8" spans="2:6" x14ac:dyDescent="0.25">
      <c r="B8" s="7"/>
      <c r="C8" s="11"/>
      <c r="D8" s="91"/>
    </row>
    <row r="9" spans="2:6" x14ac:dyDescent="0.25">
      <c r="B9" s="5" t="s">
        <v>72</v>
      </c>
      <c r="C9" s="115">
        <v>10000</v>
      </c>
      <c r="D9" s="91" t="s">
        <v>1</v>
      </c>
    </row>
    <row r="10" spans="2:6" x14ac:dyDescent="0.25">
      <c r="B10" s="10" t="s">
        <v>10</v>
      </c>
      <c r="C10" s="116">
        <v>5</v>
      </c>
      <c r="D10" s="91" t="s">
        <v>26</v>
      </c>
    </row>
    <row r="11" spans="2:6" s="25" customFormat="1" x14ac:dyDescent="0.25">
      <c r="B11" s="10" t="s">
        <v>71</v>
      </c>
      <c r="C11" s="116">
        <v>15</v>
      </c>
      <c r="D11" s="91" t="s">
        <v>6</v>
      </c>
    </row>
    <row r="12" spans="2:6" x14ac:dyDescent="0.25">
      <c r="B12" s="10" t="s">
        <v>33</v>
      </c>
      <c r="C12" s="11">
        <f>'1. BC Gebiedsesco'!C9</f>
        <v>7.5</v>
      </c>
      <c r="D12" s="91" t="s">
        <v>6</v>
      </c>
    </row>
    <row r="13" spans="2:6" x14ac:dyDescent="0.25">
      <c r="B13" s="10" t="s">
        <v>36</v>
      </c>
      <c r="C13" s="30">
        <f>'1. BC Gebiedsesco'!C10</f>
        <v>0.5</v>
      </c>
      <c r="D13" s="91" t="s">
        <v>6</v>
      </c>
    </row>
    <row r="14" spans="2:6" x14ac:dyDescent="0.25">
      <c r="B14" s="10" t="s">
        <v>37</v>
      </c>
      <c r="C14" s="30">
        <f>'1. BC Gebiedsesco'!C11</f>
        <v>0.5</v>
      </c>
      <c r="D14" s="91" t="s">
        <v>6</v>
      </c>
    </row>
    <row r="15" spans="2:6" ht="15.75" thickBot="1" x14ac:dyDescent="0.3">
      <c r="B15" s="14" t="s">
        <v>38</v>
      </c>
      <c r="C15" s="28">
        <f>'1. BC Gebiedsesco'!C12</f>
        <v>1.5</v>
      </c>
      <c r="D15" s="95" t="s">
        <v>6</v>
      </c>
    </row>
    <row r="17" spans="2:5" ht="15.75" thickBot="1" x14ac:dyDescent="0.3">
      <c r="B17" s="25"/>
      <c r="C17" s="25"/>
      <c r="D17" s="25"/>
    </row>
    <row r="18" spans="2:5" x14ac:dyDescent="0.25">
      <c r="B18" s="15" t="s">
        <v>13</v>
      </c>
      <c r="C18" s="8"/>
      <c r="D18" s="9"/>
    </row>
    <row r="19" spans="2:5" x14ac:dyDescent="0.25">
      <c r="B19" s="10"/>
      <c r="C19" s="11"/>
      <c r="D19" s="12"/>
    </row>
    <row r="20" spans="2:5" x14ac:dyDescent="0.25">
      <c r="B20" s="17" t="s">
        <v>14</v>
      </c>
      <c r="C20" s="11"/>
      <c r="D20" s="12"/>
    </row>
    <row r="21" spans="2:5" x14ac:dyDescent="0.25">
      <c r="B21" s="10" t="s">
        <v>55</v>
      </c>
      <c r="C21" s="41">
        <f>PMT(($C$12/100),$C$10,-$C$9,0,0)</f>
        <v>2471.6471778672035</v>
      </c>
      <c r="D21" s="12" t="s">
        <v>16</v>
      </c>
      <c r="E21" s="25"/>
    </row>
    <row r="22" spans="2:5" x14ac:dyDescent="0.25">
      <c r="B22" s="10" t="s">
        <v>36</v>
      </c>
      <c r="C22" s="56">
        <f>($C$13/100)*$C$9</f>
        <v>50</v>
      </c>
      <c r="D22" s="12" t="s">
        <v>16</v>
      </c>
      <c r="E22" s="25"/>
    </row>
    <row r="23" spans="2:5" x14ac:dyDescent="0.25">
      <c r="B23" s="10" t="s">
        <v>37</v>
      </c>
      <c r="C23" s="56">
        <f>($C$14/100)*$C$9</f>
        <v>50</v>
      </c>
      <c r="D23" s="12" t="s">
        <v>16</v>
      </c>
      <c r="E23" s="25"/>
    </row>
    <row r="24" spans="2:5" x14ac:dyDescent="0.25">
      <c r="B24" s="10" t="s">
        <v>38</v>
      </c>
      <c r="C24" s="56">
        <f>($C$15/100)*$C$9</f>
        <v>150</v>
      </c>
      <c r="D24" s="12" t="s">
        <v>16</v>
      </c>
      <c r="E24" s="25"/>
    </row>
    <row r="25" spans="2:5" x14ac:dyDescent="0.25">
      <c r="B25" s="18" t="s">
        <v>22</v>
      </c>
      <c r="C25" s="60">
        <f>SUM(C21:C24)</f>
        <v>2721.6471778672035</v>
      </c>
      <c r="D25" s="19" t="s">
        <v>16</v>
      </c>
      <c r="E25" s="25"/>
    </row>
    <row r="26" spans="2:5" x14ac:dyDescent="0.25">
      <c r="B26" s="10"/>
      <c r="C26" s="56"/>
      <c r="D26" s="12"/>
      <c r="E26" s="25"/>
    </row>
    <row r="27" spans="2:5" x14ac:dyDescent="0.25">
      <c r="B27" s="17" t="s">
        <v>15</v>
      </c>
      <c r="C27" s="56"/>
      <c r="D27" s="12"/>
      <c r="E27" s="25"/>
    </row>
    <row r="28" spans="2:5" x14ac:dyDescent="0.25">
      <c r="B28" s="10" t="s">
        <v>32</v>
      </c>
      <c r="C28" s="56">
        <f>($C$11/100)*C4*C5</f>
        <v>3600</v>
      </c>
      <c r="D28" s="20" t="s">
        <v>16</v>
      </c>
      <c r="E28" s="25"/>
    </row>
    <row r="29" spans="2:5" x14ac:dyDescent="0.25">
      <c r="B29" s="18" t="s">
        <v>24</v>
      </c>
      <c r="C29" s="60">
        <f>C28</f>
        <v>3600</v>
      </c>
      <c r="D29" s="19" t="s">
        <v>16</v>
      </c>
      <c r="E29" s="25"/>
    </row>
    <row r="30" spans="2:5" x14ac:dyDescent="0.25">
      <c r="B30" s="10"/>
      <c r="C30" s="56"/>
      <c r="D30" s="12"/>
      <c r="E30" s="25"/>
    </row>
    <row r="31" spans="2:5" ht="15.75" thickBot="1" x14ac:dyDescent="0.3">
      <c r="B31" s="24" t="s">
        <v>23</v>
      </c>
      <c r="C31" s="61">
        <f>C29-C25</f>
        <v>878.35282213279652</v>
      </c>
      <c r="D31" s="21" t="s">
        <v>16</v>
      </c>
    </row>
    <row r="32" spans="2:5" ht="15.75" thickBot="1" x14ac:dyDescent="0.3"/>
    <row r="33" spans="2:4" x14ac:dyDescent="0.25">
      <c r="B33" s="26" t="s">
        <v>28</v>
      </c>
      <c r="C33" s="99"/>
      <c r="D33" s="9"/>
    </row>
    <row r="34" spans="2:4" x14ac:dyDescent="0.25">
      <c r="B34" s="27"/>
      <c r="C34" s="97"/>
      <c r="D34" s="12"/>
    </row>
    <row r="35" spans="2:4" x14ac:dyDescent="0.25">
      <c r="B35" s="62">
        <f>($C$11/100)*C4</f>
        <v>30000</v>
      </c>
      <c r="C35" s="98" t="s">
        <v>17</v>
      </c>
      <c r="D35" s="12"/>
    </row>
    <row r="36" spans="2:4" x14ac:dyDescent="0.25">
      <c r="B36" s="62">
        <f>B35*3.6</f>
        <v>108000</v>
      </c>
      <c r="C36" s="98" t="s">
        <v>29</v>
      </c>
      <c r="D36" s="12"/>
    </row>
    <row r="37" spans="2:4" ht="15.75" thickBot="1" x14ac:dyDescent="0.3">
      <c r="B37" s="69">
        <f>B35*0.0005925</f>
        <v>17.775000000000002</v>
      </c>
      <c r="C37" s="100" t="s">
        <v>30</v>
      </c>
      <c r="D37" s="33"/>
    </row>
  </sheetData>
  <sheetProtection password="EA5E" sheet="1" objects="1" scenarios="1"/>
  <hyperlinks>
    <hyperlink ref="F2" location="'0. Startpagina'!A1" display="GA NAAR DE STARTPAGINA"/>
  </hyperlink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37"/>
  <sheetViews>
    <sheetView showGridLines="0" workbookViewId="0"/>
  </sheetViews>
  <sheetFormatPr defaultRowHeight="15" x14ac:dyDescent="0.25"/>
  <cols>
    <col min="1" max="1" width="5.28515625" customWidth="1"/>
    <col min="2" max="2" width="60.85546875" customWidth="1"/>
    <col min="4" max="4" width="14.42578125" customWidth="1"/>
    <col min="5" max="5" width="7.28515625" customWidth="1"/>
    <col min="6" max="6" width="10.140625" customWidth="1"/>
    <col min="7" max="7" width="11.28515625" customWidth="1"/>
    <col min="8" max="8" width="8.28515625" customWidth="1"/>
    <col min="9" max="9" width="9.42578125" customWidth="1"/>
    <col min="13" max="13" width="10.42578125" customWidth="1"/>
    <col min="15" max="15" width="9.28515625" customWidth="1"/>
  </cols>
  <sheetData>
    <row r="1" spans="1:19" ht="15.75" thickBot="1" x14ac:dyDescent="0.3">
      <c r="A1" s="1"/>
      <c r="B1" s="1"/>
      <c r="C1" s="1"/>
      <c r="D1" s="1"/>
    </row>
    <row r="2" spans="1:19" s="2" customFormat="1" ht="15.75" thickBot="1" x14ac:dyDescent="0.3">
      <c r="B2" s="16" t="s">
        <v>20</v>
      </c>
      <c r="C2" s="8"/>
      <c r="D2" s="9"/>
      <c r="M2" s="101" t="s">
        <v>118</v>
      </c>
      <c r="N2" s="102"/>
      <c r="O2" s="103"/>
    </row>
    <row r="3" spans="1:19" s="2" customFormat="1" x14ac:dyDescent="0.25">
      <c r="B3" s="10"/>
      <c r="C3" s="11"/>
      <c r="D3" s="12"/>
    </row>
    <row r="4" spans="1:19" x14ac:dyDescent="0.25">
      <c r="A4" s="1"/>
      <c r="B4" s="4" t="s">
        <v>18</v>
      </c>
      <c r="C4" s="11"/>
      <c r="D4" s="12"/>
    </row>
    <row r="5" spans="1:19" x14ac:dyDescent="0.25">
      <c r="A5" s="1"/>
      <c r="B5" s="10" t="s">
        <v>0</v>
      </c>
      <c r="C5" s="113">
        <v>75</v>
      </c>
      <c r="D5" s="91" t="s">
        <v>1</v>
      </c>
    </row>
    <row r="6" spans="1:19" x14ac:dyDescent="0.25">
      <c r="A6" s="1"/>
      <c r="B6" s="10" t="s">
        <v>27</v>
      </c>
      <c r="C6" s="113">
        <v>200</v>
      </c>
      <c r="D6" s="91" t="s">
        <v>2</v>
      </c>
    </row>
    <row r="7" spans="1:19" x14ac:dyDescent="0.25">
      <c r="A7" s="1"/>
      <c r="B7" s="10" t="s">
        <v>7</v>
      </c>
      <c r="C7" s="113">
        <v>40</v>
      </c>
      <c r="D7" s="91" t="s">
        <v>2</v>
      </c>
    </row>
    <row r="8" spans="1:19" x14ac:dyDescent="0.25">
      <c r="A8" s="1"/>
      <c r="B8" s="10" t="s">
        <v>8</v>
      </c>
      <c r="C8" s="113">
        <v>2</v>
      </c>
      <c r="D8" s="91" t="s">
        <v>3</v>
      </c>
    </row>
    <row r="9" spans="1:19" x14ac:dyDescent="0.25">
      <c r="A9" s="1"/>
      <c r="B9" s="10" t="s">
        <v>9</v>
      </c>
      <c r="C9" s="113">
        <v>80</v>
      </c>
      <c r="D9" s="91" t="s">
        <v>4</v>
      </c>
    </row>
    <row r="10" spans="1:19" x14ac:dyDescent="0.25">
      <c r="A10" s="1"/>
      <c r="B10" s="10"/>
      <c r="C10" s="56"/>
      <c r="D10" s="91"/>
    </row>
    <row r="11" spans="1:19" x14ac:dyDescent="0.25">
      <c r="A11" s="1"/>
      <c r="B11" s="4" t="s">
        <v>25</v>
      </c>
      <c r="C11" s="63"/>
      <c r="D11" s="91"/>
      <c r="S11" s="25"/>
    </row>
    <row r="12" spans="1:19" x14ac:dyDescent="0.25">
      <c r="A12" s="1"/>
      <c r="B12" s="5" t="s">
        <v>84</v>
      </c>
      <c r="C12" s="115">
        <v>4</v>
      </c>
      <c r="D12" s="91" t="s">
        <v>83</v>
      </c>
    </row>
    <row r="13" spans="1:19" ht="15.75" thickBot="1" x14ac:dyDescent="0.3">
      <c r="A13" s="1"/>
      <c r="B13" s="14" t="s">
        <v>21</v>
      </c>
      <c r="C13" s="117">
        <v>500</v>
      </c>
      <c r="D13" s="95" t="s">
        <v>16</v>
      </c>
    </row>
    <row r="14" spans="1:19" ht="15.75" thickBot="1" x14ac:dyDescent="0.3"/>
    <row r="15" spans="1:19" x14ac:dyDescent="0.25">
      <c r="B15" s="15" t="s">
        <v>19</v>
      </c>
      <c r="C15" s="8"/>
      <c r="D15" s="8"/>
      <c r="E15" s="8"/>
      <c r="F15" s="8"/>
      <c r="G15" s="8"/>
      <c r="H15" s="8"/>
      <c r="I15" s="8"/>
      <c r="J15" s="8"/>
      <c r="K15" s="8"/>
      <c r="L15" s="8"/>
      <c r="M15" s="8"/>
      <c r="N15" s="9"/>
    </row>
    <row r="16" spans="1:19" x14ac:dyDescent="0.25">
      <c r="B16" s="17"/>
      <c r="C16" s="11"/>
      <c r="D16" s="11"/>
      <c r="E16" s="11"/>
      <c r="F16" s="11"/>
      <c r="G16" s="11"/>
      <c r="H16" s="11"/>
      <c r="I16" s="11"/>
      <c r="J16" s="11"/>
      <c r="K16" s="11"/>
      <c r="L16" s="11"/>
      <c r="M16" s="11"/>
      <c r="N16" s="12"/>
    </row>
    <row r="17" spans="2:19" x14ac:dyDescent="0.25">
      <c r="B17" s="54" t="s">
        <v>81</v>
      </c>
      <c r="C17" s="53">
        <v>1</v>
      </c>
      <c r="D17" s="53">
        <v>2</v>
      </c>
      <c r="E17" s="53">
        <v>3</v>
      </c>
      <c r="F17" s="53">
        <v>4</v>
      </c>
      <c r="G17" s="53">
        <v>5</v>
      </c>
      <c r="H17" s="53">
        <v>6</v>
      </c>
      <c r="I17" s="53">
        <v>7</v>
      </c>
      <c r="J17" s="53">
        <v>8</v>
      </c>
      <c r="K17" s="53">
        <v>9</v>
      </c>
      <c r="L17" s="53">
        <v>10</v>
      </c>
      <c r="M17" s="53">
        <v>11</v>
      </c>
      <c r="N17" s="55">
        <v>12</v>
      </c>
      <c r="O17" s="25"/>
      <c r="P17" s="25"/>
      <c r="Q17" s="25"/>
      <c r="R17" s="25"/>
    </row>
    <row r="18" spans="2:19" x14ac:dyDescent="0.25">
      <c r="B18" s="17"/>
      <c r="C18" s="11"/>
      <c r="D18" s="11"/>
      <c r="E18" s="11"/>
      <c r="F18" s="11"/>
      <c r="G18" s="11"/>
      <c r="H18" s="11"/>
      <c r="I18" s="11"/>
      <c r="J18" s="11"/>
      <c r="K18" s="11"/>
      <c r="L18" s="11"/>
      <c r="M18" s="11"/>
      <c r="N18" s="12"/>
      <c r="O18" s="2"/>
      <c r="P18" s="2"/>
      <c r="Q18" s="2"/>
      <c r="R18" s="2"/>
    </row>
    <row r="19" spans="2:19" s="2" customFormat="1" x14ac:dyDescent="0.25">
      <c r="B19" s="17" t="s">
        <v>14</v>
      </c>
      <c r="C19" s="11"/>
      <c r="D19" s="11"/>
      <c r="E19" s="11"/>
      <c r="F19" s="11"/>
      <c r="G19" s="11"/>
      <c r="H19" s="11"/>
      <c r="I19" s="11"/>
      <c r="J19" s="11"/>
      <c r="K19" s="11"/>
      <c r="L19" s="11"/>
      <c r="M19" s="11"/>
      <c r="N19" s="12"/>
      <c r="S19"/>
    </row>
    <row r="20" spans="2:19" x14ac:dyDescent="0.25">
      <c r="B20" s="5" t="s">
        <v>87</v>
      </c>
      <c r="C20" s="56">
        <f>($C$6+$C$7+$C$8*$C$9)*$C$5</f>
        <v>30000</v>
      </c>
      <c r="D20" s="56">
        <v>0</v>
      </c>
      <c r="E20" s="56">
        <v>0</v>
      </c>
      <c r="F20" s="56">
        <v>0</v>
      </c>
      <c r="G20" s="56">
        <v>0</v>
      </c>
      <c r="H20" s="56">
        <v>0</v>
      </c>
      <c r="I20" s="56">
        <v>0</v>
      </c>
      <c r="J20" s="56">
        <v>0</v>
      </c>
      <c r="K20" s="56">
        <v>0</v>
      </c>
      <c r="L20" s="56">
        <v>0</v>
      </c>
      <c r="M20" s="56">
        <v>0</v>
      </c>
      <c r="N20" s="57">
        <v>0</v>
      </c>
      <c r="S20" s="2"/>
    </row>
    <row r="21" spans="2:19" x14ac:dyDescent="0.25">
      <c r="B21" s="5" t="s">
        <v>21</v>
      </c>
      <c r="C21" s="56">
        <f>$C$13</f>
        <v>500</v>
      </c>
      <c r="D21" s="56">
        <f t="shared" ref="D21:N21" si="0">$C$13</f>
        <v>500</v>
      </c>
      <c r="E21" s="56">
        <f t="shared" si="0"/>
        <v>500</v>
      </c>
      <c r="F21" s="56">
        <f t="shared" si="0"/>
        <v>500</v>
      </c>
      <c r="G21" s="56">
        <f t="shared" si="0"/>
        <v>500</v>
      </c>
      <c r="H21" s="56">
        <f t="shared" si="0"/>
        <v>500</v>
      </c>
      <c r="I21" s="56">
        <f t="shared" si="0"/>
        <v>500</v>
      </c>
      <c r="J21" s="56">
        <f t="shared" si="0"/>
        <v>500</v>
      </c>
      <c r="K21" s="56">
        <f t="shared" si="0"/>
        <v>500</v>
      </c>
      <c r="L21" s="56">
        <f t="shared" si="0"/>
        <v>500</v>
      </c>
      <c r="M21" s="56">
        <f t="shared" si="0"/>
        <v>500</v>
      </c>
      <c r="N21" s="57">
        <f t="shared" si="0"/>
        <v>500</v>
      </c>
    </row>
    <row r="22" spans="2:19" x14ac:dyDescent="0.25">
      <c r="B22" s="5" t="s">
        <v>88</v>
      </c>
      <c r="C22" s="56">
        <f>(('1. BC Gebiedsesco'!H6+'1. BC Gebiedsesco'!H7)*'3. BC Parkmanager'!$C$12)*$C$5</f>
        <v>4500</v>
      </c>
      <c r="D22" s="56">
        <f>(('1. BC Gebiedsesco'!I6+'1. BC Gebiedsesco'!I7)*'3. BC Parkmanager'!$C$12)*$C$5</f>
        <v>13500</v>
      </c>
      <c r="E22" s="56">
        <f>(('1. BC Gebiedsesco'!J6+'1. BC Gebiedsesco'!J7)*'3. BC Parkmanager'!$C$12)*$C$5</f>
        <v>16500</v>
      </c>
      <c r="F22" s="56">
        <f>(('1. BC Gebiedsesco'!K6+'1. BC Gebiedsesco'!K7)*'3. BC Parkmanager'!$C$12)*$C$5</f>
        <v>16500</v>
      </c>
      <c r="G22" s="56">
        <f>(('1. BC Gebiedsesco'!L6+'1. BC Gebiedsesco'!L7)*'3. BC Parkmanager'!$C$12)*$C$5</f>
        <v>16500</v>
      </c>
      <c r="H22" s="56">
        <f>(('1. BC Gebiedsesco'!M6+'1. BC Gebiedsesco'!M7)*'3. BC Parkmanager'!$C$12)*$C$5</f>
        <v>13500</v>
      </c>
      <c r="I22" s="56">
        <f>(('1. BC Gebiedsesco'!N6+'1. BC Gebiedsesco'!N7)*'3. BC Parkmanager'!$C$12)*$C$5</f>
        <v>7500</v>
      </c>
      <c r="J22" s="56">
        <f>(('1. BC Gebiedsesco'!O6+'1. BC Gebiedsesco'!O7)*'3. BC Parkmanager'!$C$12)*$C$5</f>
        <v>6000</v>
      </c>
      <c r="K22" s="56">
        <f>(('1. BC Gebiedsesco'!P6+'1. BC Gebiedsesco'!P7)*'3. BC Parkmanager'!$C$12)*$C$5</f>
        <v>6000</v>
      </c>
      <c r="L22" s="56">
        <f>(('1. BC Gebiedsesco'!Q6+'1. BC Gebiedsesco'!Q7)*'3. BC Parkmanager'!$C$12)*$C$5</f>
        <v>6000</v>
      </c>
      <c r="M22" s="56">
        <f>(('1. BC Gebiedsesco'!R6+'1. BC Gebiedsesco'!R7)*'3. BC Parkmanager'!$C$12)*$C$5</f>
        <v>4500</v>
      </c>
      <c r="N22" s="57">
        <f>(('1. BC Gebiedsesco'!S6+'1. BC Gebiedsesco'!S7)*'3. BC Parkmanager'!$C$12)*$C$5</f>
        <v>1500</v>
      </c>
    </row>
    <row r="23" spans="2:19" x14ac:dyDescent="0.25">
      <c r="B23" s="18" t="s">
        <v>22</v>
      </c>
      <c r="C23" s="60">
        <f>SUM(C20:C22)</f>
        <v>35000</v>
      </c>
      <c r="D23" s="60">
        <f t="shared" ref="D23:N23" si="1">SUM(D20:D22)</f>
        <v>14000</v>
      </c>
      <c r="E23" s="60">
        <f t="shared" si="1"/>
        <v>17000</v>
      </c>
      <c r="F23" s="60">
        <f t="shared" si="1"/>
        <v>17000</v>
      </c>
      <c r="G23" s="60">
        <f t="shared" si="1"/>
        <v>17000</v>
      </c>
      <c r="H23" s="60">
        <f t="shared" si="1"/>
        <v>14000</v>
      </c>
      <c r="I23" s="60">
        <f t="shared" si="1"/>
        <v>8000</v>
      </c>
      <c r="J23" s="60">
        <f t="shared" si="1"/>
        <v>6500</v>
      </c>
      <c r="K23" s="60">
        <f t="shared" si="1"/>
        <v>6500</v>
      </c>
      <c r="L23" s="60">
        <f t="shared" si="1"/>
        <v>6500</v>
      </c>
      <c r="M23" s="60">
        <f t="shared" si="1"/>
        <v>5000</v>
      </c>
      <c r="N23" s="64">
        <f t="shared" si="1"/>
        <v>2000</v>
      </c>
    </row>
    <row r="24" spans="2:19" x14ac:dyDescent="0.25">
      <c r="B24" s="5"/>
      <c r="C24" s="56"/>
      <c r="D24" s="56"/>
      <c r="E24" s="56"/>
      <c r="F24" s="56"/>
      <c r="G24" s="56"/>
      <c r="H24" s="56"/>
      <c r="I24" s="56"/>
      <c r="J24" s="56"/>
      <c r="K24" s="56"/>
      <c r="L24" s="56"/>
      <c r="M24" s="56"/>
      <c r="N24" s="57"/>
    </row>
    <row r="25" spans="2:19" x14ac:dyDescent="0.25">
      <c r="B25" s="17" t="s">
        <v>15</v>
      </c>
      <c r="C25" s="65"/>
      <c r="D25" s="65"/>
      <c r="E25" s="56"/>
      <c r="F25" s="56"/>
      <c r="G25" s="56"/>
      <c r="H25" s="56"/>
      <c r="I25" s="56"/>
      <c r="J25" s="56"/>
      <c r="K25" s="56"/>
      <c r="L25" s="56"/>
      <c r="M25" s="56"/>
      <c r="N25" s="57"/>
    </row>
    <row r="26" spans="2:19" x14ac:dyDescent="0.25">
      <c r="B26" s="5" t="s">
        <v>89</v>
      </c>
      <c r="C26" s="66">
        <f>'1. BC Gebiedsesco'!H21</f>
        <v>4800</v>
      </c>
      <c r="D26" s="66">
        <f>'1. BC Gebiedsesco'!I21</f>
        <v>14400</v>
      </c>
      <c r="E26" s="66">
        <f>'1. BC Gebiedsesco'!J21</f>
        <v>18600</v>
      </c>
      <c r="F26" s="66">
        <f>'1. BC Gebiedsesco'!K21</f>
        <v>18600</v>
      </c>
      <c r="G26" s="66">
        <f>'1. BC Gebiedsesco'!L21</f>
        <v>18600</v>
      </c>
      <c r="H26" s="66">
        <f>'1. BC Gebiedsesco'!M21</f>
        <v>17400</v>
      </c>
      <c r="I26" s="66">
        <f>'1. BC Gebiedsesco'!N21</f>
        <v>15000</v>
      </c>
      <c r="J26" s="66">
        <f>'1. BC Gebiedsesco'!O21</f>
        <v>14400</v>
      </c>
      <c r="K26" s="66">
        <f>'1. BC Gebiedsesco'!P21</f>
        <v>14400</v>
      </c>
      <c r="L26" s="66">
        <f>'1. BC Gebiedsesco'!Q21</f>
        <v>14400</v>
      </c>
      <c r="M26" s="66">
        <f>'1. BC Gebiedsesco'!R21</f>
        <v>10800</v>
      </c>
      <c r="N26" s="67">
        <f>'1. BC Gebiedsesco'!S21</f>
        <v>3600</v>
      </c>
      <c r="O26" s="2"/>
      <c r="P26" s="2"/>
      <c r="Q26" s="2"/>
      <c r="R26" s="2"/>
    </row>
    <row r="27" spans="2:19" x14ac:dyDescent="0.25">
      <c r="B27" s="18" t="s">
        <v>24</v>
      </c>
      <c r="C27" s="60">
        <f>C26</f>
        <v>4800</v>
      </c>
      <c r="D27" s="60">
        <f t="shared" ref="D27:N27" si="2">D26</f>
        <v>14400</v>
      </c>
      <c r="E27" s="60">
        <f t="shared" si="2"/>
        <v>18600</v>
      </c>
      <c r="F27" s="60">
        <f t="shared" si="2"/>
        <v>18600</v>
      </c>
      <c r="G27" s="60">
        <f t="shared" si="2"/>
        <v>18600</v>
      </c>
      <c r="H27" s="60">
        <f t="shared" si="2"/>
        <v>17400</v>
      </c>
      <c r="I27" s="60">
        <f t="shared" si="2"/>
        <v>15000</v>
      </c>
      <c r="J27" s="60">
        <f t="shared" si="2"/>
        <v>14400</v>
      </c>
      <c r="K27" s="60">
        <f t="shared" si="2"/>
        <v>14400</v>
      </c>
      <c r="L27" s="60">
        <f t="shared" si="2"/>
        <v>14400</v>
      </c>
      <c r="M27" s="60">
        <f t="shared" si="2"/>
        <v>10800</v>
      </c>
      <c r="N27" s="64">
        <f t="shared" si="2"/>
        <v>3600</v>
      </c>
    </row>
    <row r="28" spans="2:19" x14ac:dyDescent="0.25">
      <c r="B28" s="5"/>
      <c r="C28" s="65"/>
      <c r="D28" s="65"/>
      <c r="E28" s="56"/>
      <c r="F28" s="56"/>
      <c r="G28" s="56"/>
      <c r="H28" s="56"/>
      <c r="I28" s="56"/>
      <c r="J28" s="56"/>
      <c r="K28" s="56"/>
      <c r="L28" s="56"/>
      <c r="M28" s="56"/>
      <c r="N28" s="57"/>
    </row>
    <row r="29" spans="2:19" x14ac:dyDescent="0.25">
      <c r="B29" s="18" t="s">
        <v>85</v>
      </c>
      <c r="C29" s="60">
        <f>C27-C23</f>
        <v>-30200</v>
      </c>
      <c r="D29" s="60">
        <f t="shared" ref="D29:N29" si="3">D27-D23</f>
        <v>400</v>
      </c>
      <c r="E29" s="60">
        <f t="shared" si="3"/>
        <v>1600</v>
      </c>
      <c r="F29" s="60">
        <f t="shared" si="3"/>
        <v>1600</v>
      </c>
      <c r="G29" s="60">
        <f t="shared" si="3"/>
        <v>1600</v>
      </c>
      <c r="H29" s="60">
        <f t="shared" si="3"/>
        <v>3400</v>
      </c>
      <c r="I29" s="60">
        <f t="shared" si="3"/>
        <v>7000</v>
      </c>
      <c r="J29" s="60">
        <f t="shared" si="3"/>
        <v>7900</v>
      </c>
      <c r="K29" s="60">
        <f t="shared" si="3"/>
        <v>7900</v>
      </c>
      <c r="L29" s="60">
        <f t="shared" si="3"/>
        <v>7900</v>
      </c>
      <c r="M29" s="60">
        <f t="shared" si="3"/>
        <v>5800</v>
      </c>
      <c r="N29" s="64">
        <f t="shared" si="3"/>
        <v>1600</v>
      </c>
    </row>
    <row r="30" spans="2:19" s="2" customFormat="1" ht="15.75" thickBot="1" x14ac:dyDescent="0.3">
      <c r="B30" s="6" t="s">
        <v>86</v>
      </c>
      <c r="C30" s="61">
        <f>C29</f>
        <v>-30200</v>
      </c>
      <c r="D30" s="61">
        <f>C30+D29</f>
        <v>-29800</v>
      </c>
      <c r="E30" s="61">
        <f t="shared" ref="E30:N30" si="4">D30+E29</f>
        <v>-28200</v>
      </c>
      <c r="F30" s="61">
        <f t="shared" si="4"/>
        <v>-26600</v>
      </c>
      <c r="G30" s="61">
        <f t="shared" si="4"/>
        <v>-25000</v>
      </c>
      <c r="H30" s="61">
        <f t="shared" si="4"/>
        <v>-21600</v>
      </c>
      <c r="I30" s="61">
        <f t="shared" si="4"/>
        <v>-14600</v>
      </c>
      <c r="J30" s="61">
        <f t="shared" si="4"/>
        <v>-6700</v>
      </c>
      <c r="K30" s="61">
        <f t="shared" si="4"/>
        <v>1200</v>
      </c>
      <c r="L30" s="61">
        <f t="shared" si="4"/>
        <v>9100</v>
      </c>
      <c r="M30" s="61">
        <f t="shared" si="4"/>
        <v>14900</v>
      </c>
      <c r="N30" s="68">
        <f t="shared" si="4"/>
        <v>16500</v>
      </c>
      <c r="O30"/>
      <c r="P30"/>
      <c r="Q30"/>
      <c r="R30"/>
      <c r="S30"/>
    </row>
    <row r="31" spans="2:19" x14ac:dyDescent="0.25">
      <c r="S31" s="2"/>
    </row>
    <row r="35" spans="6:18" x14ac:dyDescent="0.25">
      <c r="G35" s="2"/>
      <c r="H35" s="2"/>
    </row>
    <row r="37" spans="6:18" x14ac:dyDescent="0.25">
      <c r="F37" s="2"/>
      <c r="I37" s="2"/>
      <c r="J37" s="2"/>
      <c r="K37" s="2"/>
      <c r="L37" s="2"/>
      <c r="M37" s="2"/>
      <c r="N37" s="2"/>
      <c r="O37" s="2"/>
      <c r="P37" s="2"/>
      <c r="Q37" s="2"/>
      <c r="R37" s="2"/>
    </row>
  </sheetData>
  <sheetProtection password="EA5E" sheet="1" objects="1" scenarios="1"/>
  <hyperlinks>
    <hyperlink ref="M2" location="'0. Startpagina'!A1" display="GA NAAR DE STARTPAGINA"/>
  </hyperlinks>
  <pageMargins left="0.7" right="0.7" top="0.75" bottom="0.75" header="0.3" footer="0.3"/>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F2687733A287E4A94E2887D61263313" ma:contentTypeVersion="16" ma:contentTypeDescription="Skapa ett nytt dokument." ma:contentTypeScope="" ma:versionID="b0cde0569e68cd5fbfcd320a7fec12d9">
  <xsd:schema xmlns:xsd="http://www.w3.org/2001/XMLSchema" xmlns:xs="http://www.w3.org/2001/XMLSchema" xmlns:p="http://schemas.microsoft.com/office/2006/metadata/properties" xmlns:ns2="d713b90b-5d21-4926-a72f-7b900ab12af6" xmlns:ns3="8fc34577-6786-4b00-b3f8-060776f73962" targetNamespace="http://schemas.microsoft.com/office/2006/metadata/properties" ma:root="true" ma:fieldsID="d37b39a98a1b0822db0b1b886e786ae0" ns2:_="" ns3:_="">
    <xsd:import namespace="d713b90b-5d21-4926-a72f-7b900ab12af6"/>
    <xsd:import namespace="8fc34577-6786-4b00-b3f8-060776f7396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13b90b-5d21-4926-a72f-7b900ab12a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ildmarkeringar" ma:readOnly="false" ma:fieldId="{5cf76f15-5ced-4ddc-b409-7134ff3c332f}" ma:taxonomyMulti="true" ma:sspId="0673cd2f-ce6e-4ea0-afbc-30713b89691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fc34577-6786-4b00-b3f8-060776f73962" elementFormDefault="qualified">
    <xsd:import namespace="http://schemas.microsoft.com/office/2006/documentManagement/types"/>
    <xsd:import namespace="http://schemas.microsoft.com/office/infopath/2007/PartnerControls"/>
    <xsd:element name="SharedWithUsers" ma:index="16" nillable="true" ma:displayName="Dela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lat med information" ma:internalName="SharedWithDetails" ma:readOnly="true">
      <xsd:simpleType>
        <xsd:restriction base="dms:Note">
          <xsd:maxLength value="255"/>
        </xsd:restriction>
      </xsd:simpleType>
    </xsd:element>
    <xsd:element name="TaxCatchAll" ma:index="23" nillable="true" ma:displayName="Taxonomy Catch All Column" ma:hidden="true" ma:list="{6ace7b21-a9a2-420a-903e-70ed5306e59b}" ma:internalName="TaxCatchAll" ma:showField="CatchAllData" ma:web="8fc34577-6786-4b00-b3f8-060776f7396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ehållstyp"/>
        <xsd:element ref="dc:title" minOccurs="0" maxOccurs="1" ma:index="4" ma:displayName="Rubri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fc34577-6786-4b00-b3f8-060776f73962" xsi:nil="true"/>
    <lcf76f155ced4ddcb4097134ff3c332f xmlns="d713b90b-5d21-4926-a72f-7b900ab12a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139E240-8716-41C4-81BB-0861AAE5924F}"/>
</file>

<file path=customXml/itemProps2.xml><?xml version="1.0" encoding="utf-8"?>
<ds:datastoreItem xmlns:ds="http://schemas.openxmlformats.org/officeDocument/2006/customXml" ds:itemID="{84053559-090E-4CDB-9693-8184CB2C8C50}"/>
</file>

<file path=customXml/itemProps3.xml><?xml version="1.0" encoding="utf-8"?>
<ds:datastoreItem xmlns:ds="http://schemas.openxmlformats.org/officeDocument/2006/customXml" ds:itemID="{ACBB8646-19EC-4AB5-A5BB-D687D46BD94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0. Startpagina</vt:lpstr>
      <vt:lpstr>1. BC Gebiedsesco</vt:lpstr>
      <vt:lpstr>2. BC Bedrijf</vt:lpstr>
      <vt:lpstr>3. BC Parkmanager</vt:lpstr>
    </vt:vector>
  </TitlesOfParts>
  <Company>TNO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Roosmarijn Goldbach</dc:creator>
  <cp:lastModifiedBy>Guus Mulder</cp:lastModifiedBy>
  <dcterms:created xsi:type="dcterms:W3CDTF">2016-08-15T11:47:33Z</dcterms:created>
  <dcterms:modified xsi:type="dcterms:W3CDTF">2016-11-23T10:32:11Z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0x0101009F2687733A287E4A94E2887D61263313</vt:lpwstr>
  </property>
</Properties>
</file>